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autoCompressPictures="0" defaultThemeVersion="124226"/>
  <bookViews>
    <workbookView xWindow="3780" yWindow="1200" windowWidth="15480" windowHeight="11640" tabRatio="756" firstSheet="10" activeTab="13"/>
  </bookViews>
  <sheets>
    <sheet name="Income Statement" sheetId="2" r:id="rId1"/>
    <sheet name="Balance Sheet" sheetId="3" r:id="rId2"/>
    <sheet name="Cash Flow Statement" sheetId="1" r:id="rId3"/>
    <sheet name="Key Assumptions" sheetId="23" r:id="rId4"/>
    <sheet name="Financing and Feasibility" sheetId="22" r:id="rId5"/>
    <sheet name="Appendix 2" sheetId="21" r:id="rId6"/>
    <sheet name="Attachment H1 (Residential)" sheetId="13" r:id="rId7"/>
    <sheet name="Attachment H2 (Anchor)" sheetId="12" r:id="rId8"/>
    <sheet name="Attachment H3 (Business)" sheetId="11" r:id="rId9"/>
    <sheet name="Attachment H4 (Wholesale)" sheetId="9" r:id="rId10"/>
    <sheet name="Attachment B1 (Last Mile)" sheetId="10" r:id="rId11"/>
    <sheet name="Attachment B2 (Middle Mile)" sheetId="14" r:id="rId12"/>
    <sheet name="Sources and Uses" sheetId="4" r:id="rId13"/>
    <sheet name="Revenue" sheetId="8" r:id="rId14"/>
    <sheet name="FTTP Estimate" sheetId="18" r:id="rId15"/>
    <sheet name="Capital Additions" sheetId="19" r:id="rId16"/>
    <sheet name="Loan Yr 2" sheetId="20" r:id="rId17"/>
    <sheet name="Loan Yr 3" sheetId="5" r:id="rId18"/>
    <sheet name="Loan Yr 4" sheetId="6" r:id="rId19"/>
    <sheet name="Loan Yr 5" sheetId="7" r:id="rId20"/>
    <sheet name="Depreciation 20" sheetId="15" r:id="rId21"/>
    <sheet name="Depreciation 5" sheetId="16" r:id="rId22"/>
    <sheet name="Depreciation Summary" sheetId="17" r:id="rId23"/>
  </sheets>
  <definedNames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CCOUNT_CHANGE" hidden="1">"c1449"</definedName>
    <definedName name="IQ_ACCOUNTING_FFIEC" hidden="1">"c13054"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ID" hidden="1">"c13756"</definedName>
    <definedName name="IQ_BOARD_MEMBER_TITLE" hidden="1">"c97"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IND_LOANS_TOT_LOANS_FFIEC" hidden="1">"c13874"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RECOV_FFIEC" hidden="1">"c13200"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"c13596"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ES" hidden="1">"c1356"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_FFIEC" hidden="1">"c13032"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_SBC_ACT_OR_EST_CIQ" hidden="1">"c4841"</definedName>
    <definedName name="IQ_EBIT_SBC_GW_ACT_OR_EST_CIQ" hidden="1">"c4845"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INT" hidden="1">"c373"</definedName>
    <definedName name="IQ_EBITDA_LOW_EST" hidden="1">"c371"</definedName>
    <definedName name="IQ_EBITDA_LOW_EST_CIQ" hidden="1">"c3625"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_CIQ" hidden="1">"c4875"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BOTTOM_UP_CIQ" hidden="1">"c12026"</definedName>
    <definedName name="IQ_EPS_EST_CIQ" hidden="1">"c4994"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_CIQ" hidden="1">"c12028"</definedName>
    <definedName name="IQ_EPS_GW_EST_CIQ" hidden="1">"c4723"</definedName>
    <definedName name="IQ_EPS_GW_HIGH_EST" hidden="1">"c1739"</definedName>
    <definedName name="IQ_EPS_GW_HIGH_EST_CIQ" hidden="1">"c4725"</definedName>
    <definedName name="IQ_EPS_GW_LOW_EST" hidden="1">"c1740"</definedName>
    <definedName name="IQ_EPS_GW_LOW_EST_CIQ" hidden="1">"c4726"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_CIQ" hidden="1">"c4901"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WITHOUT_FAIR_VALUES_FFIEC" hidden="1">"c12846"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EBITDA" hidden="1">"c1664"</definedName>
    <definedName name="IQ_EST_ACT_EBITDA_CIQ" hidden="1">"c3667"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REV" hidden="1">"c2113"</definedName>
    <definedName name="IQ_EST_ACT_REV_CIQ" hidden="1">"c3666"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EQ_GROWTH_Q" hidden="1">"c1764"</definedName>
    <definedName name="IQ_EST_EPS_SEQ_GROWTH_Q_CIQ" hidden="1">"c3690"</definedName>
    <definedName name="IQ_EST_EPS_SURPRISE_PERCENT" hidden="1">"c1635"</definedName>
    <definedName name="IQ_EST_EPS_SURPRISE_PERCENT_CIQ" hidden="1">"c5000"</definedName>
    <definedName name="IQ_EST_FAIR_VALUE_MORT_SERVICING_ASSETS_FFIEC" hidden="1">"c12956"</definedName>
    <definedName name="IQ_EST_FOOTNOTE" hidden="1">"c4540"</definedName>
    <definedName name="IQ_EST_FOOTNOTE_CIQ" hidden="1">"c12022"</definedName>
    <definedName name="IQ_EST_NEXT_EARNINGS_DATE" hidden="1">"c13591"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FDIC" hidden="1">"c6427"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FUNDS_SOLD" hidden="1">"c2256"</definedName>
    <definedName name="IQ_FEES_COMMISSIONS_BROKERAGE_FFIEC" hidden="1">"c13005"</definedName>
    <definedName name="IQ_FFO" hidden="1">"c1574"</definedName>
    <definedName name="IQ_FFO_ADJ_ACT_OR_EST_CIQ" hidden="1">"c4960"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_CIQ" hidden="1">"c4971"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UNDATION_OVER_TOTAL" hidden="1">"c13769"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ND_FEE_INC_NON_INT_INC_FFIEC" hidden="1">"c13493"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_AVG_LOANS_FFIEC" hidden="1">"c13475"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TARGET_PRICE" hidden="1">"c1651"</definedName>
    <definedName name="IQ_HIGH_TARGET_PRICE_CIQ" hidden="1">"c4659"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SECURED_RE_DOM_FFIEC" hidden="1">"c12977"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ANGIBLES_NET" hidden="1">"c1407"</definedName>
    <definedName name="IQ_INTEREST_BEARING_BALANCES_FDIC" hidden="1">"c6371"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Q" hidden="1">500</definedName>
    <definedName name="IQ_LEAD_UNDERWRITER" hidden="1">"c8957"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ASE_RECEIVABLES_FOREIGN_FFIEC" hidden="1">"c13483"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IDENTIAL_LOANS_FDIC" hidden="1">"c6311"</definedName>
    <definedName name="IQ_MUNICIPAL_INVEST_SECURITIES_FFIEC" hidden="1">"c13459"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FUNDS_PURCHASED_ASSETS_TOT_FFIEC" hidden="1">"c13448"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FFIEC" hidden="1">"c13034"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_CIQ" hidden="1">"c5012"</definedName>
    <definedName name="IQ_NI_SBC_GW_ACT_OR_EST_CIQ" hidden="1">"c5016"</definedName>
    <definedName name="IQ_NI_SFAS" hidden="1">"c795"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LOANS" hidden="1">"c796"</definedName>
    <definedName name="IQ_NON_CASH" hidden="1">"c1399"</definedName>
    <definedName name="IQ_NON_CASH_ITEMS" hidden="1">"c797"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"c11750"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FIEC" hidden="1">"c12862"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RIVATIVES_BENEFICIARY_FFIEC" hidden="1">"c13122"</definedName>
    <definedName name="IQ_OTHER_DERIVATIVES_GUARANTOR_FFIEC" hidden="1">"c13115"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FIEC" hidden="1">"c12826"</definedName>
    <definedName name="IQ_OTHER_TRADING_ASSETS_TOTAL_FFIEC" hidden="1">"c12937"</definedName>
    <definedName name="IQ_OTHER_TRADING_LIABILITIES_FFIEC" hidden="1">"c12860"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OPERATING_INC_AVG_ASSETS_FFIEC" hidden="1">"c13365"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_CIQ" hidden="1">"c12023"</definedName>
    <definedName name="IQ_PRICE_TARGET_CIQ" hidden="1">"c3613"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ID" hidden="1">"c13755"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ROVISION_LL_FFIEC" hidden="1">"c13019"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DEPR_AMORT" hidden="1">"c8750"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_CIQ" hidden="1">"c5045"</definedName>
    <definedName name="IQ_RECURRING_PROFIT_SHARE_ACT_OR_EST_CIQ" hidden="1">"c5046"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REV" hidden="1">"c1101"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BEFORE_LL_FFIEC" hidden="1">"c13018"</definedName>
    <definedName name="IQ_REVENUE_EST" hidden="1">"c1126"</definedName>
    <definedName name="IQ_REVENUE_EST_BOTTOM_UP_CIQ" hidden="1">"c12025"</definedName>
    <definedName name="IQ_REVENUE_EST_CIQ" hidden="1">"c3616"</definedName>
    <definedName name="IQ_REVENUE_HIGH_EST" hidden="1">"c1127"</definedName>
    <definedName name="IQ_REVENUE_HIGH_EST_CIQ" hidden="1">"c3618"</definedName>
    <definedName name="IQ_REVENUE_LOW_EST" hidden="1">"c1128"</definedName>
    <definedName name="IQ_REVENUE_LOW_EST_CIQ" hidden="1">"c3619"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40022.6651851852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–4_NON_ACCRUAL_FFIEC" hidden="1">"c13314"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XPLORE_DRILL" hidden="1">"c13851"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FIEC" hidden="1">"c12867"</definedName>
    <definedName name="IQ_SUB_NOTES_PAYABLE_UNCONSOLIDATED_TRUSTS_FFIEC" hidden="1">"c12868"</definedName>
    <definedName name="IQ_SUPPLIES_FFIEC" hidden="1">"c13050"</definedName>
    <definedName name="IQ_SURPLUS_FDIC" hidden="1">"c6351"</definedName>
    <definedName name="IQ_SURPLUS_FFIEC" hidden="1">"c12877"</definedName>
    <definedName name="IQ_SVA" hidden="1">"c1214"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ELECOM_FFIEC" hidden="1">"c13057"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DIC" hidden="1">"c6339"</definedName>
    <definedName name="IQ_TOTAL_ASSETS_FFIEC" hidden="1">"c12849"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EPOSITS_FFIEC" hidden="1">"c13623"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DIC" hidden="1">"c6348"</definedName>
    <definedName name="IQ_TOTAL_LIABILITIES_FFIEC" hidden="1">"c12873"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ACTION_ACCOUNTS_FDIC" hidden="1">"c6544"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_xlnm.Print_Area" localSheetId="5">'Appendix 2'!$A$1:$K$35</definedName>
    <definedName name="_xlnm.Print_Area" localSheetId="1">'Balance Sheet'!$B$2:$H$58</definedName>
    <definedName name="_xlnm.Print_Area" localSheetId="2">'Cash Flow Statement'!$B$1:$I$51</definedName>
    <definedName name="_xlnm.Print_Area" localSheetId="0">'Income Statement'!$B$2:$G$58</definedName>
  </definedNames>
  <calcPr calcId="125725" iterate="1"/>
</workbook>
</file>

<file path=xl/calcChain.xml><?xml version="1.0" encoding="utf-8"?>
<calcChain xmlns="http://schemas.openxmlformats.org/spreadsheetml/2006/main">
  <c r="E81" i="22"/>
  <c r="F81"/>
  <c r="D81"/>
  <c r="C22"/>
  <c r="E76"/>
  <c r="F76"/>
  <c r="D76"/>
  <c r="E26" i="4"/>
  <c r="F26"/>
  <c r="G26"/>
  <c r="H26"/>
  <c r="I26"/>
  <c r="J26"/>
  <c r="K26"/>
  <c r="D26"/>
  <c r="J15" i="1"/>
  <c r="K15"/>
  <c r="L15"/>
  <c r="M15"/>
  <c r="N15"/>
  <c r="J42"/>
  <c r="K42"/>
  <c r="L42"/>
  <c r="M42"/>
  <c r="N42"/>
  <c r="I40" i="3"/>
  <c r="J40"/>
  <c r="K40"/>
  <c r="L40"/>
  <c r="M40"/>
  <c r="H13" i="2"/>
  <c r="I13"/>
  <c r="J13"/>
  <c r="K13"/>
  <c r="L13"/>
  <c r="H14"/>
  <c r="I14"/>
  <c r="J14"/>
  <c r="K14"/>
  <c r="L14"/>
  <c r="H15"/>
  <c r="I15"/>
  <c r="J15"/>
  <c r="K15"/>
  <c r="L15"/>
  <c r="H16"/>
  <c r="I16"/>
  <c r="J16"/>
  <c r="K16"/>
  <c r="L16"/>
  <c r="H18"/>
  <c r="I18"/>
  <c r="J18"/>
  <c r="K18"/>
  <c r="L18"/>
  <c r="H19"/>
  <c r="J24" i="1" s="1"/>
  <c r="I19" i="2"/>
  <c r="K24" i="1" s="1"/>
  <c r="J19" i="2"/>
  <c r="L24" i="1" s="1"/>
  <c r="K19" i="2"/>
  <c r="M24" i="1" s="1"/>
  <c r="L19" i="2"/>
  <c r="N24" i="1" s="1"/>
  <c r="H20" i="2"/>
  <c r="I20"/>
  <c r="J20"/>
  <c r="K20"/>
  <c r="L20"/>
  <c r="H22"/>
  <c r="I22"/>
  <c r="J22"/>
  <c r="K22"/>
  <c r="L22"/>
  <c r="H23"/>
  <c r="I23"/>
  <c r="J23"/>
  <c r="K23"/>
  <c r="L23"/>
  <c r="H32"/>
  <c r="I32"/>
  <c r="J32"/>
  <c r="K32"/>
  <c r="L32"/>
  <c r="H33"/>
  <c r="I33"/>
  <c r="J33"/>
  <c r="K33"/>
  <c r="L33"/>
  <c r="H37"/>
  <c r="I37"/>
  <c r="J37"/>
  <c r="K37"/>
  <c r="L37"/>
  <c r="H39"/>
  <c r="I39"/>
  <c r="J39"/>
  <c r="K39"/>
  <c r="L39"/>
  <c r="H11"/>
  <c r="I11"/>
  <c r="J11"/>
  <c r="K11"/>
  <c r="L11"/>
  <c r="G135" i="4"/>
  <c r="H135"/>
  <c r="I135"/>
  <c r="J135"/>
  <c r="K135"/>
  <c r="G132"/>
  <c r="H132"/>
  <c r="I132"/>
  <c r="J132"/>
  <c r="K132"/>
  <c r="G129"/>
  <c r="H129" s="1"/>
  <c r="I129" s="1"/>
  <c r="J129" s="1"/>
  <c r="K129" s="1"/>
  <c r="N123"/>
  <c r="N117"/>
  <c r="N111"/>
  <c r="G109"/>
  <c r="H109"/>
  <c r="I109"/>
  <c r="J109"/>
  <c r="K109"/>
  <c r="G103"/>
  <c r="H103"/>
  <c r="I103" s="1"/>
  <c r="J103" s="1"/>
  <c r="K103" s="1"/>
  <c r="G101"/>
  <c r="H101"/>
  <c r="I101"/>
  <c r="J101"/>
  <c r="K101"/>
  <c r="G95"/>
  <c r="H95" s="1"/>
  <c r="I95" s="1"/>
  <c r="J95" s="1"/>
  <c r="N90"/>
  <c r="N89"/>
  <c r="N83"/>
  <c r="N79"/>
  <c r="N67"/>
  <c r="N59"/>
  <c r="G57"/>
  <c r="H57"/>
  <c r="I57"/>
  <c r="J57"/>
  <c r="K57"/>
  <c r="M46"/>
  <c r="M44"/>
  <c r="M43"/>
  <c r="G39"/>
  <c r="H39"/>
  <c r="I39"/>
  <c r="J39"/>
  <c r="K39"/>
  <c r="L5" i="19" l="1"/>
  <c r="L8"/>
  <c r="L10"/>
  <c r="L11"/>
  <c r="L12"/>
  <c r="L14"/>
  <c r="L15"/>
  <c r="L16"/>
  <c r="L17"/>
  <c r="L18"/>
  <c r="L20"/>
  <c r="L21"/>
  <c r="L22"/>
  <c r="L23"/>
  <c r="L25"/>
  <c r="L26"/>
  <c r="L27"/>
  <c r="L33"/>
  <c r="L35"/>
  <c r="L38"/>
  <c r="L39"/>
  <c r="L42"/>
  <c r="L44"/>
  <c r="C52" i="23"/>
  <c r="C87"/>
  <c r="C16"/>
  <c r="O19" i="19"/>
  <c r="M30"/>
  <c r="M31"/>
  <c r="M32"/>
  <c r="M29"/>
  <c r="M24"/>
  <c r="M9"/>
  <c r="K34" s="1"/>
  <c r="M4"/>
  <c r="D4" l="1"/>
  <c r="E24"/>
  <c r="E34" s="1"/>
  <c r="D9"/>
  <c r="F9"/>
  <c r="F13" s="1"/>
  <c r="H9"/>
  <c r="H13" s="1"/>
  <c r="J9"/>
  <c r="J13" s="1"/>
  <c r="F34"/>
  <c r="H34"/>
  <c r="J34"/>
  <c r="D24"/>
  <c r="D34" s="1"/>
  <c r="E4"/>
  <c r="E9" s="1"/>
  <c r="G9"/>
  <c r="G13" s="1"/>
  <c r="I9"/>
  <c r="I13" s="1"/>
  <c r="K9"/>
  <c r="K13" s="1"/>
  <c r="G34"/>
  <c r="I34"/>
  <c r="B164" i="8"/>
  <c r="B154"/>
  <c r="U44"/>
  <c r="V44"/>
  <c r="W44"/>
  <c r="X44"/>
  <c r="Y44"/>
  <c r="Z44"/>
  <c r="U43"/>
  <c r="V43"/>
  <c r="W43"/>
  <c r="X43"/>
  <c r="Y43"/>
  <c r="Z43"/>
  <c r="U42"/>
  <c r="V42"/>
  <c r="W42"/>
  <c r="X42"/>
  <c r="Y42"/>
  <c r="Z42"/>
  <c r="U41"/>
  <c r="V41"/>
  <c r="W41"/>
  <c r="X41"/>
  <c r="Y41"/>
  <c r="Z41"/>
  <c r="U40"/>
  <c r="V40"/>
  <c r="W40"/>
  <c r="W119" s="1"/>
  <c r="X40"/>
  <c r="Y40"/>
  <c r="Z40"/>
  <c r="F7" i="14"/>
  <c r="F8"/>
  <c r="F9"/>
  <c r="F10"/>
  <c r="F6"/>
  <c r="G15" i="10"/>
  <c r="G16"/>
  <c r="G17"/>
  <c r="G18"/>
  <c r="G19"/>
  <c r="G20"/>
  <c r="G21"/>
  <c r="G14"/>
  <c r="G9"/>
  <c r="G10"/>
  <c r="G11"/>
  <c r="G12"/>
  <c r="U50" i="8" s="1"/>
  <c r="G8" i="10"/>
  <c r="C11" i="23"/>
  <c r="E10"/>
  <c r="E23" i="13" s="1"/>
  <c r="D10" i="23"/>
  <c r="D23" i="13" s="1"/>
  <c r="E9" i="23"/>
  <c r="E19" i="13" s="1"/>
  <c r="D9" i="23"/>
  <c r="D19" i="13" s="1"/>
  <c r="C82" i="23"/>
  <c r="E81"/>
  <c r="E23" i="9" s="1"/>
  <c r="D81" i="23"/>
  <c r="D23" i="9" s="1"/>
  <c r="E80" i="23"/>
  <c r="E19" i="9" s="1"/>
  <c r="D80" i="23"/>
  <c r="D19" i="9" s="1"/>
  <c r="E79" i="23"/>
  <c r="E15" i="9" s="1"/>
  <c r="D79" i="23"/>
  <c r="D15" i="9" s="1"/>
  <c r="E78" i="23"/>
  <c r="E11" i="9" s="1"/>
  <c r="D78" i="23"/>
  <c r="D11" i="9" s="1"/>
  <c r="E77" i="23"/>
  <c r="E7" i="9" s="1"/>
  <c r="D77" i="23"/>
  <c r="D7" i="9" s="1"/>
  <c r="D75" i="23"/>
  <c r="D76" s="1"/>
  <c r="W74"/>
  <c r="V74"/>
  <c r="U74"/>
  <c r="T74"/>
  <c r="S74"/>
  <c r="S77" s="1"/>
  <c r="S7" i="9" s="1"/>
  <c r="R74" i="23"/>
  <c r="Q74"/>
  <c r="Q77" s="1"/>
  <c r="Q7" i="9" s="1"/>
  <c r="P74" i="23"/>
  <c r="O74"/>
  <c r="O77" s="1"/>
  <c r="O7" i="9" s="1"/>
  <c r="N74" i="23"/>
  <c r="M74"/>
  <c r="M77" s="1"/>
  <c r="M7" i="9" s="1"/>
  <c r="L74" i="23"/>
  <c r="K74"/>
  <c r="K77" s="1"/>
  <c r="K7" i="9" s="1"/>
  <c r="J74" i="23"/>
  <c r="I74"/>
  <c r="I77" s="1"/>
  <c r="I7" i="9" s="1"/>
  <c r="H74" i="23"/>
  <c r="G74"/>
  <c r="G77" s="1"/>
  <c r="G7" i="9" s="1"/>
  <c r="F74" i="23"/>
  <c r="C47"/>
  <c r="E46"/>
  <c r="E35" i="11" s="1"/>
  <c r="E45" i="23"/>
  <c r="E31" i="11" s="1"/>
  <c r="E44" i="23"/>
  <c r="E27" i="11" s="1"/>
  <c r="E43" i="23"/>
  <c r="E23" i="11" s="1"/>
  <c r="E42" i="23"/>
  <c r="E19" i="11" s="1"/>
  <c r="D46" i="23"/>
  <c r="D35" i="11" s="1"/>
  <c r="D45" i="23"/>
  <c r="D31" i="11" s="1"/>
  <c r="D44" i="23"/>
  <c r="D27" i="11" s="1"/>
  <c r="D43" i="23"/>
  <c r="D23" i="11" s="1"/>
  <c r="D42" i="23"/>
  <c r="D19" i="11" s="1"/>
  <c r="E41" i="23"/>
  <c r="E15" i="11" s="1"/>
  <c r="D41" i="23"/>
  <c r="D15" i="11" s="1"/>
  <c r="E40" i="23"/>
  <c r="E11" i="11" s="1"/>
  <c r="D40" i="23"/>
  <c r="D11" i="11" s="1"/>
  <c r="E39" i="23"/>
  <c r="E7" i="11" s="1"/>
  <c r="D39" i="23"/>
  <c r="D7" i="11" s="1"/>
  <c r="D37" i="23"/>
  <c r="D38" s="1"/>
  <c r="W36"/>
  <c r="W40" s="1"/>
  <c r="W11" i="11" s="1"/>
  <c r="V36" i="23"/>
  <c r="V41" s="1"/>
  <c r="V15" i="11" s="1"/>
  <c r="U36" i="23"/>
  <c r="U40" s="1"/>
  <c r="U11" i="11" s="1"/>
  <c r="T36" i="23"/>
  <c r="T41" s="1"/>
  <c r="T15" i="11" s="1"/>
  <c r="S36" i="23"/>
  <c r="S40" s="1"/>
  <c r="S11" i="11" s="1"/>
  <c r="R36" i="23"/>
  <c r="R41" s="1"/>
  <c r="R15" i="11" s="1"/>
  <c r="Q36" i="23"/>
  <c r="Q40" s="1"/>
  <c r="Q11" i="11" s="1"/>
  <c r="P36" i="23"/>
  <c r="P41" s="1"/>
  <c r="P15" i="11" s="1"/>
  <c r="O36" i="23"/>
  <c r="O40" s="1"/>
  <c r="O11" i="11" s="1"/>
  <c r="N36" i="23"/>
  <c r="N41" s="1"/>
  <c r="N15" i="11" s="1"/>
  <c r="M36" i="23"/>
  <c r="M40" s="1"/>
  <c r="M11" i="11" s="1"/>
  <c r="L36" i="23"/>
  <c r="L41" s="1"/>
  <c r="L15" i="11" s="1"/>
  <c r="K36" i="23"/>
  <c r="K40" s="1"/>
  <c r="K11" i="11" s="1"/>
  <c r="J36" i="23"/>
  <c r="J41" s="1"/>
  <c r="J15" i="11" s="1"/>
  <c r="I36" i="23"/>
  <c r="I40" s="1"/>
  <c r="I11" i="11" s="1"/>
  <c r="H36" i="23"/>
  <c r="H41" s="1"/>
  <c r="H15" i="11" s="1"/>
  <c r="G36" i="23"/>
  <c r="G40" s="1"/>
  <c r="G11" i="11" s="1"/>
  <c r="F36" i="23"/>
  <c r="F41" s="1"/>
  <c r="F15" i="11" s="1"/>
  <c r="AB15" i="12"/>
  <c r="Z15"/>
  <c r="X15"/>
  <c r="X16" s="1"/>
  <c r="X24"/>
  <c r="Y24" s="1"/>
  <c r="Z24" s="1"/>
  <c r="AA24" s="1"/>
  <c r="AB23"/>
  <c r="AA23"/>
  <c r="Z23"/>
  <c r="Y23"/>
  <c r="X23"/>
  <c r="X20"/>
  <c r="Y20" s="1"/>
  <c r="Z20" s="1"/>
  <c r="AA20" s="1"/>
  <c r="AB20" s="1"/>
  <c r="AB19"/>
  <c r="AA19"/>
  <c r="Z19"/>
  <c r="Y19"/>
  <c r="X19"/>
  <c r="AB7"/>
  <c r="AA7"/>
  <c r="Z7"/>
  <c r="Y7"/>
  <c r="X7"/>
  <c r="X8" s="1"/>
  <c r="Y8" s="1"/>
  <c r="Z8" s="1"/>
  <c r="AA8" s="1"/>
  <c r="AB8" s="1"/>
  <c r="E8" i="23"/>
  <c r="E15" i="13" s="1"/>
  <c r="E7" i="23"/>
  <c r="E11" i="13" s="1"/>
  <c r="D8" i="23"/>
  <c r="D15" i="13" s="1"/>
  <c r="D7" i="23"/>
  <c r="D11" i="13" s="1"/>
  <c r="W3" i="23"/>
  <c r="W6" s="1"/>
  <c r="W7" i="13" s="1"/>
  <c r="V3" i="23"/>
  <c r="V6" s="1"/>
  <c r="V7" i="13" s="1"/>
  <c r="U3" i="23"/>
  <c r="U6" s="1"/>
  <c r="U7" i="13" s="1"/>
  <c r="T3" i="23"/>
  <c r="T6" s="1"/>
  <c r="T7" i="13" s="1"/>
  <c r="S3" i="23"/>
  <c r="S8" s="1"/>
  <c r="S15" i="13" s="1"/>
  <c r="R3" i="23"/>
  <c r="R8" s="1"/>
  <c r="R15" i="13" s="1"/>
  <c r="Q3" i="23"/>
  <c r="Q8" s="1"/>
  <c r="Q15" i="13" s="1"/>
  <c r="P3" i="23"/>
  <c r="P8" s="1"/>
  <c r="P15" i="13" s="1"/>
  <c r="O3" i="23"/>
  <c r="O8" s="1"/>
  <c r="O15" i="13" s="1"/>
  <c r="N3" i="23"/>
  <c r="N8" s="1"/>
  <c r="N15" i="13" s="1"/>
  <c r="M3" i="23"/>
  <c r="M8" s="1"/>
  <c r="M15" i="13" s="1"/>
  <c r="L3" i="23"/>
  <c r="L8" s="1"/>
  <c r="L15" i="13" s="1"/>
  <c r="K3" i="23"/>
  <c r="K8" s="1"/>
  <c r="K15" i="13" s="1"/>
  <c r="J3" i="23"/>
  <c r="J8" s="1"/>
  <c r="J15" i="13" s="1"/>
  <c r="I3" i="23"/>
  <c r="I8" s="1"/>
  <c r="I15" i="13" s="1"/>
  <c r="H3" i="23"/>
  <c r="H8" s="1"/>
  <c r="H15" i="13" s="1"/>
  <c r="G3" i="23"/>
  <c r="G8" s="1"/>
  <c r="G15" i="13" s="1"/>
  <c r="F3" i="23"/>
  <c r="F8" s="1"/>
  <c r="F15" i="13" s="1"/>
  <c r="D4" i="23"/>
  <c r="D5" s="1"/>
  <c r="H133" i="8" l="1"/>
  <c r="L4" i="19"/>
  <c r="L9"/>
  <c r="Y48" i="8"/>
  <c r="W48"/>
  <c r="U48"/>
  <c r="Y50"/>
  <c r="W50"/>
  <c r="Y46"/>
  <c r="U46"/>
  <c r="Y47"/>
  <c r="W47"/>
  <c r="U47"/>
  <c r="Y49"/>
  <c r="W49"/>
  <c r="U49"/>
  <c r="Z47"/>
  <c r="X47"/>
  <c r="V47"/>
  <c r="Z48"/>
  <c r="X48"/>
  <c r="V48"/>
  <c r="Z49"/>
  <c r="X49"/>
  <c r="V49"/>
  <c r="Z50"/>
  <c r="X50"/>
  <c r="V50"/>
  <c r="W46"/>
  <c r="W51" s="1"/>
  <c r="W71" s="1"/>
  <c r="H78" s="1"/>
  <c r="Z46"/>
  <c r="Z119"/>
  <c r="X46"/>
  <c r="X119"/>
  <c r="V46"/>
  <c r="V119"/>
  <c r="Y119"/>
  <c r="G9" i="23"/>
  <c r="G19" i="13" s="1"/>
  <c r="I9" i="23"/>
  <c r="I19" i="13" s="1"/>
  <c r="K9" i="23"/>
  <c r="K19" i="13" s="1"/>
  <c r="M9" i="23"/>
  <c r="M19" i="13" s="1"/>
  <c r="O9" i="23"/>
  <c r="O19" i="13" s="1"/>
  <c r="Q9" i="23"/>
  <c r="Q19" i="13" s="1"/>
  <c r="S9" i="23"/>
  <c r="S19" i="13" s="1"/>
  <c r="U9" i="23"/>
  <c r="U19" i="13" s="1"/>
  <c r="W9" i="23"/>
  <c r="W19" i="13" s="1"/>
  <c r="F10" i="23"/>
  <c r="F23" i="13" s="1"/>
  <c r="H10" i="23"/>
  <c r="H23" i="13" s="1"/>
  <c r="J10" i="23"/>
  <c r="J23" i="13" s="1"/>
  <c r="L10" i="23"/>
  <c r="L23" i="13" s="1"/>
  <c r="N10" i="23"/>
  <c r="N23" i="13" s="1"/>
  <c r="P10" i="23"/>
  <c r="P23" i="13" s="1"/>
  <c r="R10" i="23"/>
  <c r="R23" i="13" s="1"/>
  <c r="T10" i="23"/>
  <c r="T23" i="13" s="1"/>
  <c r="V10" i="23"/>
  <c r="V23" i="13" s="1"/>
  <c r="F9" i="23"/>
  <c r="F19" i="13" s="1"/>
  <c r="H9" i="23"/>
  <c r="H19" i="13" s="1"/>
  <c r="J9" i="23"/>
  <c r="J19" i="13" s="1"/>
  <c r="L9" i="23"/>
  <c r="L19" i="13" s="1"/>
  <c r="N9" i="23"/>
  <c r="N19" i="13" s="1"/>
  <c r="P9" i="23"/>
  <c r="P19" i="13" s="1"/>
  <c r="R9" i="23"/>
  <c r="R19" i="13" s="1"/>
  <c r="T9" i="23"/>
  <c r="T19" i="13" s="1"/>
  <c r="V9" i="23"/>
  <c r="V19" i="13" s="1"/>
  <c r="G10" i="23"/>
  <c r="G23" i="13" s="1"/>
  <c r="I10" i="23"/>
  <c r="I23" i="13" s="1"/>
  <c r="K10" i="23"/>
  <c r="K23" i="13" s="1"/>
  <c r="M10" i="23"/>
  <c r="M23" i="13" s="1"/>
  <c r="O10" i="23"/>
  <c r="O23" i="13" s="1"/>
  <c r="Q10" i="23"/>
  <c r="Q23" i="13" s="1"/>
  <c r="S10" i="23"/>
  <c r="S23" i="13" s="1"/>
  <c r="U10" i="23"/>
  <c r="U23" i="13" s="1"/>
  <c r="W10" i="23"/>
  <c r="W23" i="13" s="1"/>
  <c r="F81" i="23"/>
  <c r="F23" i="9" s="1"/>
  <c r="F79" i="23"/>
  <c r="F15" i="9" s="1"/>
  <c r="F80" i="23"/>
  <c r="F19" i="9" s="1"/>
  <c r="F78" i="23"/>
  <c r="F11" i="9" s="1"/>
  <c r="H81" i="23"/>
  <c r="H23" i="9" s="1"/>
  <c r="H79" i="23"/>
  <c r="H15" i="9" s="1"/>
  <c r="H80" i="23"/>
  <c r="H19" i="9" s="1"/>
  <c r="H78" i="23"/>
  <c r="H11" i="9" s="1"/>
  <c r="J81" i="23"/>
  <c r="J23" i="9" s="1"/>
  <c r="J79" i="23"/>
  <c r="J15" i="9" s="1"/>
  <c r="J80" i="23"/>
  <c r="J19" i="9" s="1"/>
  <c r="J78" i="23"/>
  <c r="J11" i="9" s="1"/>
  <c r="L81" i="23"/>
  <c r="L23" i="9" s="1"/>
  <c r="L79" i="23"/>
  <c r="L15" i="9" s="1"/>
  <c r="L80" i="23"/>
  <c r="L19" i="9" s="1"/>
  <c r="L78" i="23"/>
  <c r="L11" i="9" s="1"/>
  <c r="N81" i="23"/>
  <c r="N23" i="9" s="1"/>
  <c r="N79" i="23"/>
  <c r="N15" i="9" s="1"/>
  <c r="N80" i="23"/>
  <c r="N19" i="9" s="1"/>
  <c r="N78" i="23"/>
  <c r="N11" i="9" s="1"/>
  <c r="P81" i="23"/>
  <c r="P23" i="9" s="1"/>
  <c r="P79" i="23"/>
  <c r="P15" i="9" s="1"/>
  <c r="P80" i="23"/>
  <c r="P19" i="9" s="1"/>
  <c r="P78" i="23"/>
  <c r="P11" i="9" s="1"/>
  <c r="R81" i="23"/>
  <c r="R23" i="9" s="1"/>
  <c r="R79" i="23"/>
  <c r="R15" i="9" s="1"/>
  <c r="R80" i="23"/>
  <c r="R19" i="9" s="1"/>
  <c r="R78" i="23"/>
  <c r="R11" i="9" s="1"/>
  <c r="T81" i="23"/>
  <c r="T23" i="9" s="1"/>
  <c r="T79" i="23"/>
  <c r="T15" i="9" s="1"/>
  <c r="T77" i="23"/>
  <c r="T7" i="9" s="1"/>
  <c r="T80" i="23"/>
  <c r="T19" i="9" s="1"/>
  <c r="T78" i="23"/>
  <c r="T11" i="9" s="1"/>
  <c r="V81" i="23"/>
  <c r="V23" i="9" s="1"/>
  <c r="V79" i="23"/>
  <c r="V15" i="9" s="1"/>
  <c r="V77" i="23"/>
  <c r="V7" i="9" s="1"/>
  <c r="V80" i="23"/>
  <c r="V19" i="9" s="1"/>
  <c r="V78" i="23"/>
  <c r="V11" i="9" s="1"/>
  <c r="E75" i="23"/>
  <c r="G80"/>
  <c r="G19" i="9" s="1"/>
  <c r="G78" i="23"/>
  <c r="G11" i="9" s="1"/>
  <c r="G81" i="23"/>
  <c r="G23" i="9" s="1"/>
  <c r="G79" i="23"/>
  <c r="G15" i="9" s="1"/>
  <c r="I80" i="23"/>
  <c r="I19" i="9" s="1"/>
  <c r="I78" i="23"/>
  <c r="I11" i="9" s="1"/>
  <c r="I81" i="23"/>
  <c r="I23" i="9" s="1"/>
  <c r="I79" i="23"/>
  <c r="I15" i="9" s="1"/>
  <c r="K80" i="23"/>
  <c r="K19" i="9" s="1"/>
  <c r="K78" i="23"/>
  <c r="K11" i="9" s="1"/>
  <c r="K81" i="23"/>
  <c r="K23" i="9" s="1"/>
  <c r="K79" i="23"/>
  <c r="K15" i="9" s="1"/>
  <c r="M80" i="23"/>
  <c r="M19" i="9" s="1"/>
  <c r="M78" i="23"/>
  <c r="M11" i="9" s="1"/>
  <c r="M81" i="23"/>
  <c r="M23" i="9" s="1"/>
  <c r="M79" i="23"/>
  <c r="M15" i="9" s="1"/>
  <c r="O80" i="23"/>
  <c r="O19" i="9" s="1"/>
  <c r="O78" i="23"/>
  <c r="O11" i="9" s="1"/>
  <c r="O81" i="23"/>
  <c r="O23" i="9" s="1"/>
  <c r="O79" i="23"/>
  <c r="O15" i="9" s="1"/>
  <c r="Q80" i="23"/>
  <c r="Q19" i="9" s="1"/>
  <c r="Q78" i="23"/>
  <c r="Q11" i="9" s="1"/>
  <c r="Q81" i="23"/>
  <c r="Q23" i="9" s="1"/>
  <c r="Q79" i="23"/>
  <c r="Q15" i="9" s="1"/>
  <c r="S80" i="23"/>
  <c r="S19" i="9" s="1"/>
  <c r="S78" i="23"/>
  <c r="S11" i="9" s="1"/>
  <c r="S81" i="23"/>
  <c r="S23" i="9" s="1"/>
  <c r="S79" i="23"/>
  <c r="S15" i="9" s="1"/>
  <c r="U80" i="23"/>
  <c r="U19" i="9" s="1"/>
  <c r="U78" i="23"/>
  <c r="U11" i="9" s="1"/>
  <c r="U81" i="23"/>
  <c r="U23" i="9" s="1"/>
  <c r="U79" i="23"/>
  <c r="U15" i="9" s="1"/>
  <c r="U77" i="23"/>
  <c r="U7" i="9" s="1"/>
  <c r="W80" i="23"/>
  <c r="W19" i="9" s="1"/>
  <c r="W78" i="23"/>
  <c r="W11" i="9" s="1"/>
  <c r="W81" i="23"/>
  <c r="W23" i="9" s="1"/>
  <c r="W79" i="23"/>
  <c r="W15" i="9" s="1"/>
  <c r="W77" i="23"/>
  <c r="W7" i="9" s="1"/>
  <c r="F77" i="23"/>
  <c r="F7" i="9" s="1"/>
  <c r="H77" i="23"/>
  <c r="H7" i="9" s="1"/>
  <c r="J77" i="23"/>
  <c r="J7" i="9" s="1"/>
  <c r="L77" i="23"/>
  <c r="L7" i="9" s="1"/>
  <c r="N77" i="23"/>
  <c r="N7" i="9" s="1"/>
  <c r="P77" i="23"/>
  <c r="P7" i="9" s="1"/>
  <c r="R77" i="23"/>
  <c r="R7" i="9" s="1"/>
  <c r="F43" i="23"/>
  <c r="F23" i="11" s="1"/>
  <c r="F45" i="23"/>
  <c r="F31" i="11" s="1"/>
  <c r="G42" i="23"/>
  <c r="G19" i="11" s="1"/>
  <c r="G44" i="23"/>
  <c r="G27" i="11" s="1"/>
  <c r="G46" i="23"/>
  <c r="G35" i="11" s="1"/>
  <c r="H43" i="23"/>
  <c r="H23" i="11" s="1"/>
  <c r="H45" i="23"/>
  <c r="H31" i="11" s="1"/>
  <c r="I42" i="23"/>
  <c r="I19" i="11" s="1"/>
  <c r="I44" i="23"/>
  <c r="I27" i="11" s="1"/>
  <c r="I46" i="23"/>
  <c r="I35" i="11" s="1"/>
  <c r="J43" i="23"/>
  <c r="J23" i="11" s="1"/>
  <c r="J45" i="23"/>
  <c r="J31" i="11" s="1"/>
  <c r="K42" i="23"/>
  <c r="K19" i="11" s="1"/>
  <c r="K44" i="23"/>
  <c r="K27" i="11" s="1"/>
  <c r="K46" i="23"/>
  <c r="K35" i="11" s="1"/>
  <c r="L43" i="23"/>
  <c r="L23" i="11" s="1"/>
  <c r="L45" i="23"/>
  <c r="L31" i="11" s="1"/>
  <c r="M42" i="23"/>
  <c r="M19" i="11" s="1"/>
  <c r="M44" i="23"/>
  <c r="M27" i="11" s="1"/>
  <c r="M46" i="23"/>
  <c r="M35" i="11" s="1"/>
  <c r="N43" i="23"/>
  <c r="N23" i="11" s="1"/>
  <c r="N45" i="23"/>
  <c r="N31" i="11" s="1"/>
  <c r="O42" i="23"/>
  <c r="O19" i="11" s="1"/>
  <c r="O44" i="23"/>
  <c r="O27" i="11" s="1"/>
  <c r="O46" i="23"/>
  <c r="O35" i="11" s="1"/>
  <c r="P43" i="23"/>
  <c r="P23" i="11" s="1"/>
  <c r="P45" i="23"/>
  <c r="P31" i="11" s="1"/>
  <c r="Q42" i="23"/>
  <c r="Q19" i="11" s="1"/>
  <c r="Q44" i="23"/>
  <c r="Q27" i="11" s="1"/>
  <c r="Q46" i="23"/>
  <c r="Q35" i="11" s="1"/>
  <c r="R43" i="23"/>
  <c r="R23" i="11" s="1"/>
  <c r="R45" i="23"/>
  <c r="R31" i="11" s="1"/>
  <c r="S42" i="23"/>
  <c r="S19" i="11" s="1"/>
  <c r="S44" i="23"/>
  <c r="S27" i="11" s="1"/>
  <c r="S46" i="23"/>
  <c r="S35" i="11" s="1"/>
  <c r="T43" i="23"/>
  <c r="T23" i="11" s="1"/>
  <c r="T45" i="23"/>
  <c r="T31" i="11" s="1"/>
  <c r="U42" i="23"/>
  <c r="U19" i="11" s="1"/>
  <c r="U44" i="23"/>
  <c r="U27" i="11" s="1"/>
  <c r="U46" i="23"/>
  <c r="U35" i="11" s="1"/>
  <c r="V43" i="23"/>
  <c r="V23" i="11" s="1"/>
  <c r="V45" i="23"/>
  <c r="V31" i="11" s="1"/>
  <c r="W42" i="23"/>
  <c r="W19" i="11" s="1"/>
  <c r="W44" i="23"/>
  <c r="W27" i="11" s="1"/>
  <c r="W46" i="23"/>
  <c r="W35" i="11" s="1"/>
  <c r="F42" i="23"/>
  <c r="F19" i="11" s="1"/>
  <c r="F44" i="23"/>
  <c r="F27" i="11" s="1"/>
  <c r="F46" i="23"/>
  <c r="F35" i="11" s="1"/>
  <c r="G43" i="23"/>
  <c r="G23" i="11" s="1"/>
  <c r="G45" i="23"/>
  <c r="G31" i="11" s="1"/>
  <c r="H42" i="23"/>
  <c r="H19" i="11" s="1"/>
  <c r="H44" i="23"/>
  <c r="H27" i="11" s="1"/>
  <c r="H46" i="23"/>
  <c r="H35" i="11" s="1"/>
  <c r="I43" i="23"/>
  <c r="I23" i="11" s="1"/>
  <c r="I45" i="23"/>
  <c r="I31" i="11" s="1"/>
  <c r="J42" i="23"/>
  <c r="J19" i="11" s="1"/>
  <c r="J44" i="23"/>
  <c r="J27" i="11" s="1"/>
  <c r="J46" i="23"/>
  <c r="J35" i="11" s="1"/>
  <c r="K43" i="23"/>
  <c r="K23" i="11" s="1"/>
  <c r="K45" i="23"/>
  <c r="K31" i="11" s="1"/>
  <c r="L42" i="23"/>
  <c r="L19" i="11" s="1"/>
  <c r="L44" i="23"/>
  <c r="L27" i="11" s="1"/>
  <c r="L46" i="23"/>
  <c r="L35" i="11" s="1"/>
  <c r="M43" i="23"/>
  <c r="M23" i="11" s="1"/>
  <c r="M45" i="23"/>
  <c r="M31" i="11" s="1"/>
  <c r="N42" i="23"/>
  <c r="N19" i="11" s="1"/>
  <c r="N44" i="23"/>
  <c r="N27" i="11" s="1"/>
  <c r="N46" i="23"/>
  <c r="N35" i="11" s="1"/>
  <c r="O43" i="23"/>
  <c r="O23" i="11" s="1"/>
  <c r="O45" i="23"/>
  <c r="O31" i="11" s="1"/>
  <c r="P42" i="23"/>
  <c r="P19" i="11" s="1"/>
  <c r="P44" i="23"/>
  <c r="P27" i="11" s="1"/>
  <c r="P46" i="23"/>
  <c r="P35" i="11" s="1"/>
  <c r="Q43" i="23"/>
  <c r="Q23" i="11" s="1"/>
  <c r="Q45" i="23"/>
  <c r="Q31" i="11" s="1"/>
  <c r="R42" i="23"/>
  <c r="R19" i="11" s="1"/>
  <c r="R44" i="23"/>
  <c r="R27" i="11" s="1"/>
  <c r="R46" i="23"/>
  <c r="R35" i="11" s="1"/>
  <c r="S43" i="23"/>
  <c r="S23" i="11" s="1"/>
  <c r="S45" i="23"/>
  <c r="S31" i="11" s="1"/>
  <c r="T42" i="23"/>
  <c r="T19" i="11" s="1"/>
  <c r="T44" i="23"/>
  <c r="T27" i="11" s="1"/>
  <c r="T46" i="23"/>
  <c r="T35" i="11" s="1"/>
  <c r="U43" i="23"/>
  <c r="U23" i="11" s="1"/>
  <c r="U45" i="23"/>
  <c r="U31" i="11" s="1"/>
  <c r="V42" i="23"/>
  <c r="V19" i="11" s="1"/>
  <c r="V44" i="23"/>
  <c r="V27" i="11" s="1"/>
  <c r="V46" i="23"/>
  <c r="V35" i="11" s="1"/>
  <c r="W43" i="23"/>
  <c r="W23" i="11" s="1"/>
  <c r="W45" i="23"/>
  <c r="W31" i="11" s="1"/>
  <c r="G39" i="23"/>
  <c r="G7" i="11" s="1"/>
  <c r="K39" i="23"/>
  <c r="K7" i="11" s="1"/>
  <c r="O39" i="23"/>
  <c r="O7" i="11" s="1"/>
  <c r="S39" i="23"/>
  <c r="S7" i="11" s="1"/>
  <c r="W39" i="23"/>
  <c r="W7" i="11" s="1"/>
  <c r="I41" i="23"/>
  <c r="I15" i="11" s="1"/>
  <c r="M41" i="23"/>
  <c r="M15" i="11" s="1"/>
  <c r="Q41" i="23"/>
  <c r="Q15" i="11" s="1"/>
  <c r="U41" i="23"/>
  <c r="U15" i="11" s="1"/>
  <c r="I39" i="23"/>
  <c r="I7" i="11" s="1"/>
  <c r="M39" i="23"/>
  <c r="M7" i="11" s="1"/>
  <c r="Q39" i="23"/>
  <c r="Q7" i="11" s="1"/>
  <c r="U39" i="23"/>
  <c r="U7" i="11" s="1"/>
  <c r="G41" i="23"/>
  <c r="G15" i="11" s="1"/>
  <c r="K41" i="23"/>
  <c r="K15" i="11" s="1"/>
  <c r="O41" i="23"/>
  <c r="O15" i="11" s="1"/>
  <c r="S41" i="23"/>
  <c r="S15" i="11" s="1"/>
  <c r="W41" i="23"/>
  <c r="W15" i="11" s="1"/>
  <c r="F40" i="23"/>
  <c r="F11" i="11" s="1"/>
  <c r="H40" i="23"/>
  <c r="H11" i="11" s="1"/>
  <c r="J40" i="23"/>
  <c r="J11" i="11" s="1"/>
  <c r="L40" i="23"/>
  <c r="L11" i="11" s="1"/>
  <c r="N40" i="23"/>
  <c r="N11" i="11" s="1"/>
  <c r="P40" i="23"/>
  <c r="P11" i="11" s="1"/>
  <c r="R40" i="23"/>
  <c r="R11" i="11" s="1"/>
  <c r="T40" i="23"/>
  <c r="T11" i="11" s="1"/>
  <c r="V40" i="23"/>
  <c r="V11" i="11" s="1"/>
  <c r="F39" i="23"/>
  <c r="F7" i="11" s="1"/>
  <c r="H39" i="23"/>
  <c r="H7" i="11" s="1"/>
  <c r="J39" i="23"/>
  <c r="J7" i="11" s="1"/>
  <c r="L39" i="23"/>
  <c r="L7" i="11" s="1"/>
  <c r="N39" i="23"/>
  <c r="N7" i="11" s="1"/>
  <c r="P39" i="23"/>
  <c r="P7" i="11" s="1"/>
  <c r="R39" i="23"/>
  <c r="R7" i="11" s="1"/>
  <c r="T39" i="23"/>
  <c r="T7" i="11" s="1"/>
  <c r="V39" i="23"/>
  <c r="V7" i="11" s="1"/>
  <c r="H7" i="23"/>
  <c r="H11" i="13" s="1"/>
  <c r="L7" i="23"/>
  <c r="L11" i="13" s="1"/>
  <c r="P7" i="23"/>
  <c r="P11" i="13" s="1"/>
  <c r="T8" i="23"/>
  <c r="T15" i="13" s="1"/>
  <c r="U8" i="23"/>
  <c r="U15" i="13" s="1"/>
  <c r="V8" i="23"/>
  <c r="V15" i="13" s="1"/>
  <c r="W8" i="23"/>
  <c r="W15" i="13" s="1"/>
  <c r="F7" i="23"/>
  <c r="F11" i="13" s="1"/>
  <c r="J7" i="23"/>
  <c r="J11" i="13" s="1"/>
  <c r="N7" i="23"/>
  <c r="N11" i="13" s="1"/>
  <c r="R7" i="23"/>
  <c r="R11" i="13" s="1"/>
  <c r="T7" i="23"/>
  <c r="T11" i="13" s="1"/>
  <c r="U7" i="23"/>
  <c r="U11" i="13" s="1"/>
  <c r="V7" i="23"/>
  <c r="V11" i="13" s="1"/>
  <c r="W7" i="23"/>
  <c r="W11" i="13" s="1"/>
  <c r="E37" i="23"/>
  <c r="AB24" i="12"/>
  <c r="Y15"/>
  <c r="Y11"/>
  <c r="AA15"/>
  <c r="AA11"/>
  <c r="Y16"/>
  <c r="Z16" s="1"/>
  <c r="AA16" s="1"/>
  <c r="AB16" s="1"/>
  <c r="X11"/>
  <c r="Z11"/>
  <c r="AB11"/>
  <c r="M6" i="23"/>
  <c r="M7" i="13" s="1"/>
  <c r="O6" i="23"/>
  <c r="O7" i="13" s="1"/>
  <c r="Q6" i="23"/>
  <c r="Q7" i="13" s="1"/>
  <c r="S6" i="23"/>
  <c r="S7" i="13" s="1"/>
  <c r="G7" i="23"/>
  <c r="G11" i="13" s="1"/>
  <c r="I7" i="23"/>
  <c r="I11" i="13" s="1"/>
  <c r="K7" i="23"/>
  <c r="K11" i="13" s="1"/>
  <c r="M7" i="23"/>
  <c r="M11" i="13" s="1"/>
  <c r="O7" i="23"/>
  <c r="O11" i="13" s="1"/>
  <c r="Q7" i="23"/>
  <c r="Q11" i="13" s="1"/>
  <c r="S7" i="23"/>
  <c r="S11" i="13" s="1"/>
  <c r="L6" i="23"/>
  <c r="L7" i="13" s="1"/>
  <c r="N6" i="23"/>
  <c r="N7" i="13" s="1"/>
  <c r="P6" i="23"/>
  <c r="P7" i="13" s="1"/>
  <c r="R6" i="23"/>
  <c r="R7" i="13" s="1"/>
  <c r="E4" i="23"/>
  <c r="K6"/>
  <c r="K7" i="13" s="1"/>
  <c r="J6" i="23"/>
  <c r="J7" i="13" s="1"/>
  <c r="I6" i="23"/>
  <c r="I7" i="13" s="1"/>
  <c r="H6" i="23"/>
  <c r="H7" i="13" s="1"/>
  <c r="G6" i="23"/>
  <c r="G7" i="13" s="1"/>
  <c r="F6" i="23"/>
  <c r="F7" i="13" s="1"/>
  <c r="E6" i="23"/>
  <c r="E7" i="13" s="1"/>
  <c r="D6" i="23"/>
  <c r="D7" i="13" s="1"/>
  <c r="C53" i="22"/>
  <c r="B31"/>
  <c r="C55"/>
  <c r="D7"/>
  <c r="E7" s="1"/>
  <c r="J133" i="8" l="1"/>
  <c r="J126"/>
  <c r="J45" i="4" s="1"/>
  <c r="G133" i="8"/>
  <c r="I126"/>
  <c r="I45" i="4" s="1"/>
  <c r="I133" i="8"/>
  <c r="K126"/>
  <c r="K45" i="4" s="1"/>
  <c r="K133" i="8"/>
  <c r="Z51"/>
  <c r="Z71" s="1"/>
  <c r="K78" s="1"/>
  <c r="H126"/>
  <c r="H45" i="4" s="1"/>
  <c r="X51" i="8"/>
  <c r="X71" s="1"/>
  <c r="I78" s="1"/>
  <c r="V51"/>
  <c r="V71" s="1"/>
  <c r="G78" s="1"/>
  <c r="U51"/>
  <c r="Y51"/>
  <c r="Y71" s="1"/>
  <c r="J78" s="1"/>
  <c r="E76" i="23"/>
  <c r="F75"/>
  <c r="E38"/>
  <c r="F37"/>
  <c r="X12" i="12"/>
  <c r="E5" i="23"/>
  <c r="F4"/>
  <c r="E53" i="22"/>
  <c r="F7"/>
  <c r="D53"/>
  <c r="C23"/>
  <c r="C25" s="1"/>
  <c r="F76" i="23" l="1"/>
  <c r="G75"/>
  <c r="F38"/>
  <c r="G37"/>
  <c r="Y12" i="12"/>
  <c r="G4" i="23"/>
  <c r="F5"/>
  <c r="C28" i="22"/>
  <c r="C26"/>
  <c r="C11" s="1"/>
  <c r="G7"/>
  <c r="F53"/>
  <c r="G76" i="23" l="1"/>
  <c r="H75"/>
  <c r="G38"/>
  <c r="H37"/>
  <c r="Z12" i="12"/>
  <c r="H4" i="23"/>
  <c r="G5"/>
  <c r="G53" i="22"/>
  <c r="H7"/>
  <c r="C166" i="8"/>
  <c r="B166"/>
  <c r="H76" i="23" l="1"/>
  <c r="I75"/>
  <c r="H38"/>
  <c r="I37"/>
  <c r="AA12" i="12"/>
  <c r="I4" i="23"/>
  <c r="H5"/>
  <c r="I7" i="22"/>
  <c r="H53"/>
  <c r="C156" i="8"/>
  <c r="B156"/>
  <c r="I76" i="23" l="1"/>
  <c r="J75"/>
  <c r="I38"/>
  <c r="J37"/>
  <c r="AB12" i="12"/>
  <c r="J4" i="23"/>
  <c r="I5"/>
  <c r="I53" i="22"/>
  <c r="J7"/>
  <c r="A7" i="8"/>
  <c r="A8"/>
  <c r="A9"/>
  <c r="A10"/>
  <c r="A6"/>
  <c r="J76" i="23" l="1"/>
  <c r="K75"/>
  <c r="J38"/>
  <c r="K37"/>
  <c r="K4"/>
  <c r="J5"/>
  <c r="K7" i="22"/>
  <c r="J53"/>
  <c r="K76" i="23" l="1"/>
  <c r="L75"/>
  <c r="K38"/>
  <c r="L37"/>
  <c r="L4"/>
  <c r="K5"/>
  <c r="K53" i="22"/>
  <c r="L7"/>
  <c r="L53" s="1"/>
  <c r="F23" i="21"/>
  <c r="F16"/>
  <c r="F15"/>
  <c r="F10"/>
  <c r="F9"/>
  <c r="F8"/>
  <c r="C6"/>
  <c r="H31"/>
  <c r="M31" s="1"/>
  <c r="H30"/>
  <c r="M30"/>
  <c r="K34"/>
  <c r="K33"/>
  <c r="K32"/>
  <c r="K31"/>
  <c r="K30"/>
  <c r="E30"/>
  <c r="G31" s="1"/>
  <c r="B30"/>
  <c r="I31"/>
  <c r="D31"/>
  <c r="I30"/>
  <c r="D30"/>
  <c r="C28"/>
  <c r="D28" s="1"/>
  <c r="G27"/>
  <c r="D27"/>
  <c r="D26"/>
  <c r="G25"/>
  <c r="F28"/>
  <c r="D25"/>
  <c r="G24"/>
  <c r="D24"/>
  <c r="G23"/>
  <c r="D23"/>
  <c r="C21"/>
  <c r="D21" s="1"/>
  <c r="D20"/>
  <c r="G19"/>
  <c r="D19"/>
  <c r="D18"/>
  <c r="G17"/>
  <c r="D17"/>
  <c r="D16"/>
  <c r="G15"/>
  <c r="D15"/>
  <c r="D14"/>
  <c r="F21"/>
  <c r="D13"/>
  <c r="G10"/>
  <c r="D10"/>
  <c r="G9"/>
  <c r="D9"/>
  <c r="G8"/>
  <c r="D8"/>
  <c r="G7"/>
  <c r="D7"/>
  <c r="G6"/>
  <c r="F11"/>
  <c r="D6"/>
  <c r="C11"/>
  <c r="D11"/>
  <c r="G11"/>
  <c r="H21"/>
  <c r="I21" s="1"/>
  <c r="G21"/>
  <c r="G28"/>
  <c r="H28"/>
  <c r="I28" s="1"/>
  <c r="G14"/>
  <c r="G16"/>
  <c r="G18"/>
  <c r="G20"/>
  <c r="G26"/>
  <c r="G30"/>
  <c r="H8" i="11"/>
  <c r="I8" s="1"/>
  <c r="D12"/>
  <c r="E12" s="1"/>
  <c r="F12" s="1"/>
  <c r="G12" s="1"/>
  <c r="H12" s="1"/>
  <c r="I12" s="1"/>
  <c r="J12" s="1"/>
  <c r="K12" s="1"/>
  <c r="L12" s="1"/>
  <c r="M12" s="1"/>
  <c r="N12" s="1"/>
  <c r="O12" s="1"/>
  <c r="P12" s="1"/>
  <c r="Q12" s="1"/>
  <c r="R12" s="1"/>
  <c r="S12" s="1"/>
  <c r="T12" s="1"/>
  <c r="U12" s="1"/>
  <c r="V12" s="1"/>
  <c r="W12" s="1"/>
  <c r="D16"/>
  <c r="E16" s="1"/>
  <c r="F16" s="1"/>
  <c r="D20"/>
  <c r="E20" s="1"/>
  <c r="F20" s="1"/>
  <c r="G20" s="1"/>
  <c r="H20" s="1"/>
  <c r="I20" s="1"/>
  <c r="J20" s="1"/>
  <c r="K20" s="1"/>
  <c r="L20" s="1"/>
  <c r="M20" s="1"/>
  <c r="N20" s="1"/>
  <c r="O20" s="1"/>
  <c r="P20" s="1"/>
  <c r="Q20" s="1"/>
  <c r="R20" s="1"/>
  <c r="S20" s="1"/>
  <c r="T20" s="1"/>
  <c r="U20" s="1"/>
  <c r="V20" s="1"/>
  <c r="W20" s="1"/>
  <c r="D24"/>
  <c r="E24" s="1"/>
  <c r="F24" s="1"/>
  <c r="H28"/>
  <c r="I28" s="1"/>
  <c r="J28" s="1"/>
  <c r="K28" s="1"/>
  <c r="L28" s="1"/>
  <c r="M28" s="1"/>
  <c r="N28" s="1"/>
  <c r="O28" s="1"/>
  <c r="P28" s="1"/>
  <c r="Q28" s="1"/>
  <c r="R28" s="1"/>
  <c r="S28" s="1"/>
  <c r="T28" s="1"/>
  <c r="U28" s="1"/>
  <c r="V28" s="1"/>
  <c r="W28" s="1"/>
  <c r="H32"/>
  <c r="I32" s="1"/>
  <c r="H36"/>
  <c r="I36" s="1"/>
  <c r="J36" s="1"/>
  <c r="K36" s="1"/>
  <c r="D24" i="12"/>
  <c r="E24" s="1"/>
  <c r="F24"/>
  <c r="G24" s="1"/>
  <c r="D20"/>
  <c r="D16"/>
  <c r="E16" s="1"/>
  <c r="F16"/>
  <c r="G16" s="1"/>
  <c r="D12"/>
  <c r="D8"/>
  <c r="E8" s="1"/>
  <c r="F8"/>
  <c r="G8" s="1"/>
  <c r="K20" i="21"/>
  <c r="K19"/>
  <c r="K18"/>
  <c r="K8"/>
  <c r="K7"/>
  <c r="K9"/>
  <c r="K10"/>
  <c r="K14"/>
  <c r="K24" s="1"/>
  <c r="K15"/>
  <c r="K25" s="1"/>
  <c r="K16"/>
  <c r="K26" s="1"/>
  <c r="K17"/>
  <c r="K27" s="1"/>
  <c r="K13"/>
  <c r="K23" s="1"/>
  <c r="D8" i="13"/>
  <c r="E8" s="1"/>
  <c r="F8" s="1"/>
  <c r="G8" s="1"/>
  <c r="D12"/>
  <c r="E12" s="1"/>
  <c r="D16"/>
  <c r="E16" s="1"/>
  <c r="F16" s="1"/>
  <c r="G16" s="1"/>
  <c r="E8" i="8" s="1"/>
  <c r="E14" s="1"/>
  <c r="D20" i="13"/>
  <c r="E20" s="1"/>
  <c r="D24"/>
  <c r="D36" i="11"/>
  <c r="E36" s="1"/>
  <c r="D32"/>
  <c r="E32" s="1"/>
  <c r="F32" s="1"/>
  <c r="D26" i="8" s="1"/>
  <c r="D28" i="11"/>
  <c r="E28" s="1"/>
  <c r="D8"/>
  <c r="E8" s="1"/>
  <c r="F8" s="1"/>
  <c r="D20" i="8" s="1"/>
  <c r="D29" s="1"/>
  <c r="D8" i="9"/>
  <c r="E8" s="1"/>
  <c r="K12"/>
  <c r="L12" s="1"/>
  <c r="L24"/>
  <c r="I20"/>
  <c r="D16"/>
  <c r="E16" s="1"/>
  <c r="D24"/>
  <c r="E24" s="1"/>
  <c r="D20"/>
  <c r="E20" s="1"/>
  <c r="F20" s="1"/>
  <c r="D12"/>
  <c r="E12" s="1"/>
  <c r="F12" s="1"/>
  <c r="I12"/>
  <c r="D45" i="3"/>
  <c r="D47" s="1"/>
  <c r="D40"/>
  <c r="H40"/>
  <c r="G40"/>
  <c r="F40"/>
  <c r="E40"/>
  <c r="C3" i="20"/>
  <c r="C11" s="1"/>
  <c r="C41" s="1"/>
  <c r="E45" i="3" s="1"/>
  <c r="E47" s="1"/>
  <c r="E49" s="1"/>
  <c r="C3" i="5"/>
  <c r="C11" s="1"/>
  <c r="C5" i="20"/>
  <c r="C4"/>
  <c r="C5" i="5"/>
  <c r="C4"/>
  <c r="C3" i="6"/>
  <c r="C11" s="1"/>
  <c r="B12" i="20"/>
  <c r="D12"/>
  <c r="B12" i="5"/>
  <c r="C6"/>
  <c r="C5" i="6"/>
  <c r="C4"/>
  <c r="C6"/>
  <c r="F9"/>
  <c r="C3" i="7"/>
  <c r="C11" s="1"/>
  <c r="F41" s="1"/>
  <c r="B13" i="20"/>
  <c r="C6"/>
  <c r="F9" s="1"/>
  <c r="E5" i="18"/>
  <c r="E6"/>
  <c r="E7"/>
  <c r="E8"/>
  <c r="E9"/>
  <c r="E10"/>
  <c r="E11"/>
  <c r="E20" i="8"/>
  <c r="E29" s="1"/>
  <c r="E23"/>
  <c r="E32" s="1"/>
  <c r="E25"/>
  <c r="E89" s="1"/>
  <c r="B105" s="1"/>
  <c r="E26"/>
  <c r="E90" s="1"/>
  <c r="B106" s="1"/>
  <c r="E27"/>
  <c r="E91" s="1"/>
  <c r="B107" s="1"/>
  <c r="E41" i="18"/>
  <c r="E42"/>
  <c r="E43"/>
  <c r="E44"/>
  <c r="E47"/>
  <c r="E48"/>
  <c r="E49"/>
  <c r="E50"/>
  <c r="E53"/>
  <c r="E54"/>
  <c r="E55"/>
  <c r="E56"/>
  <c r="B3" i="16"/>
  <c r="E16" i="18"/>
  <c r="E17"/>
  <c r="E18"/>
  <c r="E19"/>
  <c r="E20"/>
  <c r="E21"/>
  <c r="E22"/>
  <c r="E23"/>
  <c r="E24"/>
  <c r="E25"/>
  <c r="E26"/>
  <c r="E27"/>
  <c r="E28"/>
  <c r="E29"/>
  <c r="E30"/>
  <c r="E31"/>
  <c r="E58"/>
  <c r="Q6" i="19"/>
  <c r="I23" i="8"/>
  <c r="I32" s="1"/>
  <c r="I58"/>
  <c r="I96" s="1"/>
  <c r="C112" s="1"/>
  <c r="I27"/>
  <c r="I91" s="1"/>
  <c r="C107" s="1"/>
  <c r="E57" i="18"/>
  <c r="B3" i="15"/>
  <c r="D8" i="17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E6" i="16"/>
  <c r="E6" i="15"/>
  <c r="E9" i="17"/>
  <c r="E10"/>
  <c r="E11"/>
  <c r="E12"/>
  <c r="E13"/>
  <c r="E14"/>
  <c r="E15"/>
  <c r="E16"/>
  <c r="E17"/>
  <c r="E18"/>
  <c r="E19"/>
  <c r="E20"/>
  <c r="E21"/>
  <c r="E22"/>
  <c r="E23"/>
  <c r="E24"/>
  <c r="E25"/>
  <c r="E26"/>
  <c r="F6" i="16"/>
  <c r="F6" i="15"/>
  <c r="M23" i="8"/>
  <c r="M32" s="1"/>
  <c r="F10" i="17"/>
  <c r="F11"/>
  <c r="F12"/>
  <c r="F13"/>
  <c r="F14"/>
  <c r="F15"/>
  <c r="F16"/>
  <c r="F17"/>
  <c r="F18"/>
  <c r="F19"/>
  <c r="F20"/>
  <c r="F21"/>
  <c r="F22"/>
  <c r="F23"/>
  <c r="F24"/>
  <c r="F25"/>
  <c r="F26"/>
  <c r="Q23" i="8"/>
  <c r="Q32" s="1"/>
  <c r="G11" i="17"/>
  <c r="G12"/>
  <c r="G13"/>
  <c r="G14"/>
  <c r="G15"/>
  <c r="G16"/>
  <c r="G17"/>
  <c r="G18"/>
  <c r="G19"/>
  <c r="G20"/>
  <c r="G21"/>
  <c r="G22"/>
  <c r="G23"/>
  <c r="G24"/>
  <c r="G25"/>
  <c r="G26"/>
  <c r="U25" i="8"/>
  <c r="U89" s="1"/>
  <c r="F105" s="1"/>
  <c r="H12" i="17"/>
  <c r="H13"/>
  <c r="H14"/>
  <c r="H15"/>
  <c r="H16"/>
  <c r="H17"/>
  <c r="H18"/>
  <c r="H19"/>
  <c r="H20"/>
  <c r="H21"/>
  <c r="H22"/>
  <c r="H23"/>
  <c r="H24"/>
  <c r="H25"/>
  <c r="H26"/>
  <c r="E39" i="1"/>
  <c r="E12" i="18"/>
  <c r="E34"/>
  <c r="E35"/>
  <c r="E36"/>
  <c r="E37"/>
  <c r="E38"/>
  <c r="B22" i="4"/>
  <c r="E41" i="1"/>
  <c r="E42"/>
  <c r="C11" i="2"/>
  <c r="B7" i="8"/>
  <c r="B9"/>
  <c r="B23"/>
  <c r="B32" s="1"/>
  <c r="B25"/>
  <c r="B27"/>
  <c r="B36" s="1"/>
  <c r="C23"/>
  <c r="C32" s="1"/>
  <c r="D23"/>
  <c r="D32" s="1"/>
  <c r="B40"/>
  <c r="B46" s="1"/>
  <c r="B42"/>
  <c r="B48" s="1"/>
  <c r="B44"/>
  <c r="B50" s="1"/>
  <c r="C40"/>
  <c r="C46" s="1"/>
  <c r="C42"/>
  <c r="C48" s="1"/>
  <c r="C44"/>
  <c r="C50" s="1"/>
  <c r="D40"/>
  <c r="D46" s="1"/>
  <c r="D42"/>
  <c r="D48" s="1"/>
  <c r="D44"/>
  <c r="D50" s="1"/>
  <c r="B54"/>
  <c r="B60" s="1"/>
  <c r="B56"/>
  <c r="B62" s="1"/>
  <c r="C13" i="2"/>
  <c r="B39" i="4"/>
  <c r="C14" i="2"/>
  <c r="C15"/>
  <c r="C16"/>
  <c r="B43" i="4"/>
  <c r="B44"/>
  <c r="B45"/>
  <c r="C18" i="2"/>
  <c r="C20"/>
  <c r="B54" i="4"/>
  <c r="C55"/>
  <c r="B55"/>
  <c r="B66" s="1"/>
  <c r="B87"/>
  <c r="B58" s="1"/>
  <c r="C23" i="2" s="1"/>
  <c r="B65" i="4"/>
  <c r="B79"/>
  <c r="B83"/>
  <c r="N95"/>
  <c r="B103"/>
  <c r="B109" s="1"/>
  <c r="C33" i="2"/>
  <c r="B129" i="4"/>
  <c r="B132"/>
  <c r="B135"/>
  <c r="C37" i="2" s="1"/>
  <c r="C39"/>
  <c r="C49"/>
  <c r="E15" i="1"/>
  <c r="E8"/>
  <c r="F39"/>
  <c r="C22" i="4"/>
  <c r="F41" i="1"/>
  <c r="F42"/>
  <c r="D11" i="2"/>
  <c r="F23" i="8"/>
  <c r="F32" s="1"/>
  <c r="F25"/>
  <c r="F34" s="1"/>
  <c r="F27"/>
  <c r="F36" s="1"/>
  <c r="G21"/>
  <c r="G25"/>
  <c r="G34" s="1"/>
  <c r="H21"/>
  <c r="H25"/>
  <c r="H34" s="1"/>
  <c r="F55"/>
  <c r="F61" s="1"/>
  <c r="F57"/>
  <c r="F63" s="1"/>
  <c r="G55"/>
  <c r="G61" s="1"/>
  <c r="H55"/>
  <c r="H61" s="1"/>
  <c r="I64"/>
  <c r="D13" i="2"/>
  <c r="C39" i="4"/>
  <c r="D14" i="2"/>
  <c r="D15"/>
  <c r="D16"/>
  <c r="C43" i="4"/>
  <c r="C44"/>
  <c r="C45"/>
  <c r="D18" i="2"/>
  <c r="D20"/>
  <c r="C57" i="4"/>
  <c r="D22" i="2" s="1"/>
  <c r="C87" i="4"/>
  <c r="C65"/>
  <c r="C66"/>
  <c r="C79"/>
  <c r="N85"/>
  <c r="N86" s="1"/>
  <c r="P85"/>
  <c r="C83"/>
  <c r="C103"/>
  <c r="C129"/>
  <c r="D129" s="1"/>
  <c r="E129" s="1"/>
  <c r="C132"/>
  <c r="C135" s="1"/>
  <c r="D37" i="2" s="1"/>
  <c r="D39"/>
  <c r="D49"/>
  <c r="F15" i="1"/>
  <c r="B13" i="5"/>
  <c r="B12" i="6"/>
  <c r="C5" i="7"/>
  <c r="C4"/>
  <c r="C6"/>
  <c r="I42" i="1"/>
  <c r="G11" i="2"/>
  <c r="R25" i="8"/>
  <c r="S25"/>
  <c r="S34" s="1"/>
  <c r="T23"/>
  <c r="T32" s="1"/>
  <c r="G13" i="2"/>
  <c r="F39" i="4"/>
  <c r="G14" i="2" s="1"/>
  <c r="G15"/>
  <c r="G16"/>
  <c r="G18"/>
  <c r="G19"/>
  <c r="G20"/>
  <c r="D54" i="4"/>
  <c r="E54" s="1"/>
  <c r="F54"/>
  <c r="D55"/>
  <c r="E55"/>
  <c r="G23" i="2"/>
  <c r="E79" i="4"/>
  <c r="F79" s="1"/>
  <c r="G79" s="1"/>
  <c r="P86"/>
  <c r="F129"/>
  <c r="F132"/>
  <c r="F135" s="1"/>
  <c r="G37" i="2" s="1"/>
  <c r="G39"/>
  <c r="I15" i="1"/>
  <c r="H42"/>
  <c r="F11" i="2"/>
  <c r="O23" i="8"/>
  <c r="O32" s="1"/>
  <c r="P21"/>
  <c r="F13" i="2"/>
  <c r="E39" i="4"/>
  <c r="F15" i="2"/>
  <c r="F16"/>
  <c r="F18"/>
  <c r="F19"/>
  <c r="F20"/>
  <c r="F23"/>
  <c r="E65" i="4"/>
  <c r="E132"/>
  <c r="F39" i="2"/>
  <c r="H15" i="1"/>
  <c r="D23" i="4"/>
  <c r="D22" s="1"/>
  <c r="G41" i="1"/>
  <c r="E20" i="2" s="1"/>
  <c r="G42" i="1"/>
  <c r="E11" i="2"/>
  <c r="J25" i="8"/>
  <c r="K23"/>
  <c r="K32" s="1"/>
  <c r="L25"/>
  <c r="L34" s="1"/>
  <c r="E13" i="2"/>
  <c r="D39" i="4"/>
  <c r="E14" i="2" s="1"/>
  <c r="E15"/>
  <c r="E16"/>
  <c r="E18"/>
  <c r="D57" i="4"/>
  <c r="E22" i="2" s="1"/>
  <c r="E23"/>
  <c r="D65" i="4"/>
  <c r="D66"/>
  <c r="D79"/>
  <c r="D83"/>
  <c r="E39" i="2"/>
  <c r="G15" i="1"/>
  <c r="F46" i="19"/>
  <c r="F47" s="1"/>
  <c r="E46"/>
  <c r="E47" s="1"/>
  <c r="A7"/>
  <c r="A15"/>
  <c r="N19"/>
  <c r="A19"/>
  <c r="A30"/>
  <c r="A29"/>
  <c r="A28"/>
  <c r="A6"/>
  <c r="A26"/>
  <c r="A25"/>
  <c r="A24"/>
  <c r="A23"/>
  <c r="A5"/>
  <c r="A22"/>
  <c r="A21"/>
  <c r="A20"/>
  <c r="A3"/>
  <c r="A18"/>
  <c r="A17"/>
  <c r="A16"/>
  <c r="G38" i="18"/>
  <c r="D43" i="19"/>
  <c r="L43" s="1"/>
  <c r="W26" i="15"/>
  <c r="W25"/>
  <c r="V25"/>
  <c r="W24"/>
  <c r="V24"/>
  <c r="U24"/>
  <c r="V23"/>
  <c r="U23"/>
  <c r="T23"/>
  <c r="T22"/>
  <c r="S22"/>
  <c r="T21"/>
  <c r="S21"/>
  <c r="R21"/>
  <c r="R20"/>
  <c r="Q20"/>
  <c r="Q19"/>
  <c r="P19"/>
  <c r="P18"/>
  <c r="O18"/>
  <c r="O17"/>
  <c r="O17" i="17" s="1"/>
  <c r="N17" i="15"/>
  <c r="N16"/>
  <c r="M16"/>
  <c r="M15"/>
  <c r="L15"/>
  <c r="L14"/>
  <c r="K14"/>
  <c r="K13"/>
  <c r="K13" i="17" s="1"/>
  <c r="J13" i="15"/>
  <c r="J12"/>
  <c r="I12"/>
  <c r="A8"/>
  <c r="A9" s="1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W26" i="16"/>
  <c r="W25"/>
  <c r="V25"/>
  <c r="W24"/>
  <c r="W24" i="17" s="1"/>
  <c r="V24" i="16"/>
  <c r="U24"/>
  <c r="U24" i="17" s="1"/>
  <c r="V23" i="16"/>
  <c r="V23" i="17" s="1"/>
  <c r="U23" i="16"/>
  <c r="T23"/>
  <c r="U22"/>
  <c r="T22"/>
  <c r="T22" i="17" s="1"/>
  <c r="S22" i="16"/>
  <c r="T21"/>
  <c r="T21" i="17" s="1"/>
  <c r="S21" i="16"/>
  <c r="R21"/>
  <c r="R21" i="17" s="1"/>
  <c r="S20" i="16"/>
  <c r="R20"/>
  <c r="Q20"/>
  <c r="R19"/>
  <c r="Q19"/>
  <c r="Q19" i="17" s="1"/>
  <c r="P19" i="16"/>
  <c r="Q18"/>
  <c r="P18"/>
  <c r="P18" i="17" s="1"/>
  <c r="O18" i="16"/>
  <c r="P17"/>
  <c r="O17"/>
  <c r="N17"/>
  <c r="N17" i="17" s="1"/>
  <c r="O16" i="16"/>
  <c r="N16"/>
  <c r="M16"/>
  <c r="M16" i="17" s="1"/>
  <c r="N15" i="16"/>
  <c r="M15"/>
  <c r="L15"/>
  <c r="M14"/>
  <c r="L14"/>
  <c r="L14" i="17" s="1"/>
  <c r="K14" i="16"/>
  <c r="L13"/>
  <c r="K13"/>
  <c r="J13"/>
  <c r="J13" i="17" s="1"/>
  <c r="K12" i="16"/>
  <c r="J12"/>
  <c r="I12"/>
  <c r="I12" i="17" s="1"/>
  <c r="A8" i="16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V26" i="17"/>
  <c r="U26"/>
  <c r="T26"/>
  <c r="S26"/>
  <c r="R26"/>
  <c r="Q26"/>
  <c r="P26"/>
  <c r="O26"/>
  <c r="N26"/>
  <c r="M26"/>
  <c r="L26"/>
  <c r="K26"/>
  <c r="J26"/>
  <c r="I26"/>
  <c r="B26"/>
  <c r="U25"/>
  <c r="T25"/>
  <c r="S25"/>
  <c r="R25"/>
  <c r="Q25"/>
  <c r="P25"/>
  <c r="O25"/>
  <c r="N25"/>
  <c r="M25"/>
  <c r="L25"/>
  <c r="K25"/>
  <c r="J25"/>
  <c r="I25"/>
  <c r="B25"/>
  <c r="T24"/>
  <c r="S24"/>
  <c r="R24"/>
  <c r="Q24"/>
  <c r="P24"/>
  <c r="O24"/>
  <c r="N24"/>
  <c r="M24"/>
  <c r="L24"/>
  <c r="K24"/>
  <c r="J24"/>
  <c r="I24"/>
  <c r="B24"/>
  <c r="S23"/>
  <c r="R23"/>
  <c r="Q23"/>
  <c r="P23"/>
  <c r="O23"/>
  <c r="N23"/>
  <c r="M23"/>
  <c r="L23"/>
  <c r="K23"/>
  <c r="J23"/>
  <c r="I23"/>
  <c r="B23"/>
  <c r="R22"/>
  <c r="Q22"/>
  <c r="P22"/>
  <c r="O22"/>
  <c r="N22"/>
  <c r="M22"/>
  <c r="L22"/>
  <c r="K22"/>
  <c r="J22"/>
  <c r="I22"/>
  <c r="B22"/>
  <c r="Q21"/>
  <c r="P21"/>
  <c r="O21"/>
  <c r="N21"/>
  <c r="M21"/>
  <c r="L21"/>
  <c r="K21"/>
  <c r="J21"/>
  <c r="I21"/>
  <c r="B21"/>
  <c r="P20"/>
  <c r="O20"/>
  <c r="N20"/>
  <c r="M20"/>
  <c r="L20"/>
  <c r="K20"/>
  <c r="J20"/>
  <c r="I20"/>
  <c r="B20"/>
  <c r="O19"/>
  <c r="N19"/>
  <c r="M19"/>
  <c r="L19"/>
  <c r="K19"/>
  <c r="J19"/>
  <c r="I19"/>
  <c r="B19"/>
  <c r="N18"/>
  <c r="M18"/>
  <c r="L18"/>
  <c r="K18"/>
  <c r="J18"/>
  <c r="I18"/>
  <c r="B18"/>
  <c r="M17"/>
  <c r="L17"/>
  <c r="K17"/>
  <c r="J17"/>
  <c r="I17"/>
  <c r="B17"/>
  <c r="L16"/>
  <c r="K16"/>
  <c r="J16"/>
  <c r="I16"/>
  <c r="B16"/>
  <c r="K15"/>
  <c r="J15"/>
  <c r="I15"/>
  <c r="B15"/>
  <c r="J14"/>
  <c r="I14"/>
  <c r="B14"/>
  <c r="I13"/>
  <c r="B13"/>
  <c r="B12"/>
  <c r="A8"/>
  <c r="A9"/>
  <c r="A10" s="1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E6"/>
  <c r="F6" s="1"/>
  <c r="G6" s="1"/>
  <c r="H6" s="1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J12"/>
  <c r="K14"/>
  <c r="L15"/>
  <c r="M15"/>
  <c r="N16"/>
  <c r="O18"/>
  <c r="P19"/>
  <c r="Q20"/>
  <c r="R20"/>
  <c r="S22"/>
  <c r="S21"/>
  <c r="T23"/>
  <c r="U23"/>
  <c r="V24"/>
  <c r="V25"/>
  <c r="W26"/>
  <c r="W25"/>
  <c r="F39" i="18"/>
  <c r="I12"/>
  <c r="G31"/>
  <c r="G50"/>
  <c r="C34" i="20"/>
  <c r="D34"/>
  <c r="E34" s="1"/>
  <c r="F34" s="1"/>
  <c r="G34" s="1"/>
  <c r="H34" s="1"/>
  <c r="I34" s="1"/>
  <c r="J34" s="1"/>
  <c r="K34" s="1"/>
  <c r="B37" s="1"/>
  <c r="C37" s="1"/>
  <c r="D37" s="1"/>
  <c r="E37" s="1"/>
  <c r="F37" s="1"/>
  <c r="G37" s="1"/>
  <c r="H37" s="1"/>
  <c r="I37" s="1"/>
  <c r="J37" s="1"/>
  <c r="K37" s="1"/>
  <c r="E11"/>
  <c r="B14"/>
  <c r="D35"/>
  <c r="B15"/>
  <c r="B16"/>
  <c r="C34" i="5"/>
  <c r="D34" s="1"/>
  <c r="E34"/>
  <c r="F34" s="1"/>
  <c r="G34" s="1"/>
  <c r="H34" s="1"/>
  <c r="I34" s="1"/>
  <c r="J34" s="1"/>
  <c r="K34" s="1"/>
  <c r="B37" s="1"/>
  <c r="C37" s="1"/>
  <c r="D37" s="1"/>
  <c r="E37" s="1"/>
  <c r="F37" s="1"/>
  <c r="G37" s="1"/>
  <c r="H37" s="1"/>
  <c r="I37" s="1"/>
  <c r="J37" s="1"/>
  <c r="K37" s="1"/>
  <c r="C34" i="6"/>
  <c r="D34" s="1"/>
  <c r="E34"/>
  <c r="F34" s="1"/>
  <c r="G34" s="1"/>
  <c r="H34" s="1"/>
  <c r="I34" s="1"/>
  <c r="J34" s="1"/>
  <c r="K34" s="1"/>
  <c r="B37" s="1"/>
  <c r="C37" s="1"/>
  <c r="D37" s="1"/>
  <c r="E37" s="1"/>
  <c r="F37" s="1"/>
  <c r="G37" s="1"/>
  <c r="H37" s="1"/>
  <c r="I37" s="1"/>
  <c r="J37" s="1"/>
  <c r="K37" s="1"/>
  <c r="C34" i="7"/>
  <c r="D34"/>
  <c r="E34" s="1"/>
  <c r="F34"/>
  <c r="G34" s="1"/>
  <c r="H34" s="1"/>
  <c r="I34" s="1"/>
  <c r="J34" s="1"/>
  <c r="K34" s="1"/>
  <c r="B37" s="1"/>
  <c r="C37" s="1"/>
  <c r="D37" s="1"/>
  <c r="E37" s="1"/>
  <c r="F37" s="1"/>
  <c r="G37" s="1"/>
  <c r="H37" s="1"/>
  <c r="I37" s="1"/>
  <c r="J37" s="1"/>
  <c r="K37" s="1"/>
  <c r="B12"/>
  <c r="E12"/>
  <c r="G36" s="1"/>
  <c r="A145" i="8"/>
  <c r="A144"/>
  <c r="F143"/>
  <c r="E143"/>
  <c r="D143"/>
  <c r="C143"/>
  <c r="B143"/>
  <c r="A135"/>
  <c r="A120"/>
  <c r="A134" s="1"/>
  <c r="A119"/>
  <c r="A133" s="1"/>
  <c r="A118"/>
  <c r="A132" s="1"/>
  <c r="A117"/>
  <c r="A131" s="1"/>
  <c r="A127"/>
  <c r="A113"/>
  <c r="A80"/>
  <c r="A79"/>
  <c r="A78"/>
  <c r="A77"/>
  <c r="A76"/>
  <c r="A58"/>
  <c r="A64" s="1"/>
  <c r="A57"/>
  <c r="A63" s="1"/>
  <c r="A56"/>
  <c r="A55"/>
  <c r="A93" s="1"/>
  <c r="A109" s="1"/>
  <c r="A54"/>
  <c r="A92" s="1"/>
  <c r="A108" s="1"/>
  <c r="A27"/>
  <c r="A26"/>
  <c r="A90" s="1"/>
  <c r="A106" s="1"/>
  <c r="A25"/>
  <c r="A24"/>
  <c r="A33" s="1"/>
  <c r="A23"/>
  <c r="A32" s="1"/>
  <c r="A22"/>
  <c r="A31" s="1"/>
  <c r="A21"/>
  <c r="A30" s="1"/>
  <c r="A20"/>
  <c r="A29" s="1"/>
  <c r="A16"/>
  <c r="A15"/>
  <c r="A14"/>
  <c r="A13"/>
  <c r="A12"/>
  <c r="A87"/>
  <c r="A103" s="1"/>
  <c r="A86"/>
  <c r="A102" s="1"/>
  <c r="A85"/>
  <c r="A101" s="1"/>
  <c r="H93"/>
  <c r="A95"/>
  <c r="A111" s="1"/>
  <c r="A35"/>
  <c r="A41"/>
  <c r="A47" s="1"/>
  <c r="A43"/>
  <c r="A49" s="1"/>
  <c r="A42"/>
  <c r="A48" s="1"/>
  <c r="A126"/>
  <c r="M24" i="4"/>
  <c r="A51"/>
  <c r="A50"/>
  <c r="A139"/>
  <c r="A137"/>
  <c r="A32"/>
  <c r="A31"/>
  <c r="A30"/>
  <c r="A59"/>
  <c r="A58"/>
  <c r="A53"/>
  <c r="A52"/>
  <c r="A49"/>
  <c r="A43"/>
  <c r="A42"/>
  <c r="A41"/>
  <c r="A34"/>
  <c r="A29"/>
  <c r="A128"/>
  <c r="A122"/>
  <c r="A116"/>
  <c r="A110"/>
  <c r="A102"/>
  <c r="A94"/>
  <c r="A78"/>
  <c r="A64"/>
  <c r="N22"/>
  <c r="I24" i="1" l="1"/>
  <c r="H79" i="4"/>
  <c r="B93"/>
  <c r="C31" i="2" s="1"/>
  <c r="E14" i="20"/>
  <c r="F36" s="1"/>
  <c r="D132" i="4"/>
  <c r="D135" s="1"/>
  <c r="E37" i="2" s="1"/>
  <c r="H24" i="1"/>
  <c r="D11" i="20"/>
  <c r="C35" s="1"/>
  <c r="H89" i="8"/>
  <c r="F20"/>
  <c r="B92"/>
  <c r="B94"/>
  <c r="C55"/>
  <c r="C61" s="1"/>
  <c r="B55"/>
  <c r="D6"/>
  <c r="A96"/>
  <c r="A112" s="1"/>
  <c r="F91"/>
  <c r="F89"/>
  <c r="U34"/>
  <c r="F26"/>
  <c r="F90" s="1"/>
  <c r="E35"/>
  <c r="C26"/>
  <c r="C90" s="1"/>
  <c r="C20"/>
  <c r="C29" s="1"/>
  <c r="B26"/>
  <c r="B35" s="1"/>
  <c r="B24"/>
  <c r="B33" s="1"/>
  <c r="B20"/>
  <c r="B29" s="1"/>
  <c r="C6"/>
  <c r="C12" s="1"/>
  <c r="B8"/>
  <c r="B14" s="1"/>
  <c r="B6"/>
  <c r="K6" i="21"/>
  <c r="I55" i="8"/>
  <c r="C57"/>
  <c r="B57"/>
  <c r="F8" i="9"/>
  <c r="G8" s="1"/>
  <c r="H8" s="1"/>
  <c r="C54" i="8"/>
  <c r="B90"/>
  <c r="B22"/>
  <c r="B31" s="1"/>
  <c r="D35"/>
  <c r="D90"/>
  <c r="F36" i="11"/>
  <c r="D27" i="8" s="1"/>
  <c r="C27"/>
  <c r="C36" s="1"/>
  <c r="F28" i="11"/>
  <c r="D25" i="8" s="1"/>
  <c r="C25"/>
  <c r="D8"/>
  <c r="D14" s="1"/>
  <c r="C8"/>
  <c r="C14" s="1"/>
  <c r="L76" i="23"/>
  <c r="M75"/>
  <c r="L38"/>
  <c r="M37"/>
  <c r="A60" i="8"/>
  <c r="F93"/>
  <c r="G93"/>
  <c r="B58"/>
  <c r="L36" i="11"/>
  <c r="H18" i="21"/>
  <c r="M18" s="1"/>
  <c r="H16"/>
  <c r="M16" s="1"/>
  <c r="U21" i="8"/>
  <c r="U30" s="1"/>
  <c r="L23"/>
  <c r="L32" s="1"/>
  <c r="K25"/>
  <c r="K89" s="1"/>
  <c r="J23"/>
  <c r="J32" s="1"/>
  <c r="P25"/>
  <c r="O25"/>
  <c r="N25"/>
  <c r="N89" s="1"/>
  <c r="T25"/>
  <c r="T34" s="1"/>
  <c r="T21"/>
  <c r="S21"/>
  <c r="S30" s="1"/>
  <c r="R23"/>
  <c r="R32" s="1"/>
  <c r="H27"/>
  <c r="H23"/>
  <c r="H32" s="1"/>
  <c r="G27"/>
  <c r="G36" s="1"/>
  <c r="G23"/>
  <c r="G32" s="1"/>
  <c r="E36"/>
  <c r="E34"/>
  <c r="Q25"/>
  <c r="Q89" s="1"/>
  <c r="E105" s="1"/>
  <c r="Q21"/>
  <c r="Q30" s="1"/>
  <c r="M25"/>
  <c r="M21"/>
  <c r="M30" s="1"/>
  <c r="I25"/>
  <c r="I21"/>
  <c r="I30" s="1"/>
  <c r="M4" i="23"/>
  <c r="L5"/>
  <c r="L21" i="8"/>
  <c r="K21"/>
  <c r="K30" s="1"/>
  <c r="J21"/>
  <c r="J30" s="1"/>
  <c r="O21"/>
  <c r="O30" s="1"/>
  <c r="N21"/>
  <c r="R21"/>
  <c r="R30" s="1"/>
  <c r="F21"/>
  <c r="F30" s="1"/>
  <c r="D21"/>
  <c r="D30" s="1"/>
  <c r="C21"/>
  <c r="C30" s="1"/>
  <c r="B21"/>
  <c r="E21"/>
  <c r="E30" s="1"/>
  <c r="P30"/>
  <c r="T30"/>
  <c r="H30"/>
  <c r="G30"/>
  <c r="L30"/>
  <c r="N30"/>
  <c r="B30"/>
  <c r="H14" i="21"/>
  <c r="F16" i="9"/>
  <c r="C56" i="8"/>
  <c r="C93" i="4"/>
  <c r="D31" i="2" s="1"/>
  <c r="A124" i="8"/>
  <c r="F95"/>
  <c r="A61"/>
  <c r="C93"/>
  <c r="S89"/>
  <c r="G89"/>
  <c r="I36"/>
  <c r="D84"/>
  <c r="E12" i="20"/>
  <c r="D36" s="1"/>
  <c r="F9" i="7"/>
  <c r="D12" s="1"/>
  <c r="G35" s="1"/>
  <c r="E13" i="20"/>
  <c r="E36" s="1"/>
  <c r="C12"/>
  <c r="C13" s="1"/>
  <c r="A125" i="8"/>
  <c r="F20" i="13"/>
  <c r="C9" i="8"/>
  <c r="C15" s="1"/>
  <c r="H16" i="13"/>
  <c r="F12"/>
  <c r="C7" i="8"/>
  <c r="M12" i="9"/>
  <c r="J55" i="8"/>
  <c r="I18" i="21"/>
  <c r="P23" i="8"/>
  <c r="P32" s="1"/>
  <c r="N23"/>
  <c r="N32" s="1"/>
  <c r="S23"/>
  <c r="S32" s="1"/>
  <c r="U23"/>
  <c r="U32" s="1"/>
  <c r="B13" i="7"/>
  <c r="B17" i="20"/>
  <c r="E16"/>
  <c r="H36" s="1"/>
  <c r="E15"/>
  <c r="G36" s="1"/>
  <c r="J34" i="8"/>
  <c r="J89"/>
  <c r="F14" i="2"/>
  <c r="F55" i="4"/>
  <c r="F66" s="1"/>
  <c r="E57"/>
  <c r="F22" i="2" s="1"/>
  <c r="E66" i="4"/>
  <c r="F65"/>
  <c r="F57"/>
  <c r="G22" i="2" s="1"/>
  <c r="R34" i="8"/>
  <c r="R89"/>
  <c r="E11" i="7"/>
  <c r="E13" i="5"/>
  <c r="F36" s="1"/>
  <c r="B14"/>
  <c r="F35" i="8"/>
  <c r="F29"/>
  <c r="B57" i="4"/>
  <c r="C22" i="2" s="1"/>
  <c r="B34" i="8"/>
  <c r="B89"/>
  <c r="B37"/>
  <c r="B70" s="1"/>
  <c r="E11" i="6"/>
  <c r="D11" s="1"/>
  <c r="M24" i="9"/>
  <c r="J58" i="8"/>
  <c r="J32" i="11"/>
  <c r="G26" i="8"/>
  <c r="G24" i="11"/>
  <c r="D24" i="8"/>
  <c r="D33" s="1"/>
  <c r="G16" i="11"/>
  <c r="D22" i="8"/>
  <c r="J8" i="11"/>
  <c r="G20" i="8"/>
  <c r="B91"/>
  <c r="L89"/>
  <c r="A84"/>
  <c r="A100" s="1"/>
  <c r="A40"/>
  <c r="A46" s="1"/>
  <c r="A88"/>
  <c r="A104" s="1"/>
  <c r="A44"/>
  <c r="A50" s="1"/>
  <c r="A89"/>
  <c r="A105" s="1"/>
  <c r="A34"/>
  <c r="A91"/>
  <c r="A107" s="1"/>
  <c r="A36"/>
  <c r="A94"/>
  <c r="A110" s="1"/>
  <c r="A62"/>
  <c r="D14" i="20"/>
  <c r="C36"/>
  <c r="K34" i="8"/>
  <c r="N34"/>
  <c r="E12" i="6"/>
  <c r="F36" s="1"/>
  <c r="B13"/>
  <c r="E135" i="4"/>
  <c r="F37" i="2" s="1"/>
  <c r="C109" i="4"/>
  <c r="D33" i="2" s="1"/>
  <c r="D103" i="4"/>
  <c r="C35" i="8"/>
  <c r="C24"/>
  <c r="C33" s="1"/>
  <c r="C22"/>
  <c r="C31" s="1"/>
  <c r="B15"/>
  <c r="B13"/>
  <c r="Q34"/>
  <c r="G6" i="15"/>
  <c r="U22"/>
  <c r="U22" i="17" s="1"/>
  <c r="S20" i="15"/>
  <c r="S20" i="17" s="1"/>
  <c r="R19" i="15"/>
  <c r="R19" i="17" s="1"/>
  <c r="Q18" i="15"/>
  <c r="Q18" i="17" s="1"/>
  <c r="P17" i="15"/>
  <c r="P17" i="17" s="1"/>
  <c r="O16" i="15"/>
  <c r="O16" i="17" s="1"/>
  <c r="N15" i="15"/>
  <c r="N15" i="17" s="1"/>
  <c r="M14" i="15"/>
  <c r="M14" i="17" s="1"/>
  <c r="L13" i="15"/>
  <c r="L13" i="17" s="1"/>
  <c r="K12" i="15"/>
  <c r="K12" i="17" s="1"/>
  <c r="Q7" i="19"/>
  <c r="G58" i="18"/>
  <c r="G44"/>
  <c r="E60"/>
  <c r="G12"/>
  <c r="D11" i="5"/>
  <c r="F9"/>
  <c r="E11"/>
  <c r="D41"/>
  <c r="C12"/>
  <c r="F24" i="9"/>
  <c r="C58" i="8"/>
  <c r="J20" i="9"/>
  <c r="G57" i="8"/>
  <c r="E24" i="13"/>
  <c r="B10" i="8"/>
  <c r="E12" i="12"/>
  <c r="B41" i="8"/>
  <c r="E83" i="4"/>
  <c r="C58"/>
  <c r="D23" i="2" s="1"/>
  <c r="D87" i="4"/>
  <c r="E87" s="1"/>
  <c r="F87" s="1"/>
  <c r="G87" s="1"/>
  <c r="H87" s="1"/>
  <c r="I87" s="1"/>
  <c r="J87" s="1"/>
  <c r="K87" s="1"/>
  <c r="B95"/>
  <c r="B101" s="1"/>
  <c r="C32" i="2" s="1"/>
  <c r="C95" i="4"/>
  <c r="D12" i="8"/>
  <c r="C84"/>
  <c r="Q3" i="19"/>
  <c r="E12" i="5"/>
  <c r="E36" s="1"/>
  <c r="E41" i="6"/>
  <c r="G12" i="9"/>
  <c r="E55" i="8" s="1"/>
  <c r="D55"/>
  <c r="G20" i="9"/>
  <c r="E57" i="8" s="1"/>
  <c r="D57"/>
  <c r="E6"/>
  <c r="H8" i="13"/>
  <c r="E20" i="12"/>
  <c r="B43" i="8"/>
  <c r="B49" s="1"/>
  <c r="G6" i="16"/>
  <c r="D6" i="19"/>
  <c r="L6" s="1"/>
  <c r="D49" i="3"/>
  <c r="E54" i="8"/>
  <c r="H8" i="12"/>
  <c r="E40" i="8"/>
  <c r="H16" i="12"/>
  <c r="E42" i="8"/>
  <c r="E48" s="1"/>
  <c r="H24" i="12"/>
  <c r="E44" i="8"/>
  <c r="E50" s="1"/>
  <c r="I79" i="4" l="1"/>
  <c r="D41" i="20"/>
  <c r="I16" i="21"/>
  <c r="B153" i="8"/>
  <c r="B86"/>
  <c r="B84"/>
  <c r="C86"/>
  <c r="B61"/>
  <c r="B93"/>
  <c r="B12"/>
  <c r="B117"/>
  <c r="B118"/>
  <c r="C91"/>
  <c r="B163"/>
  <c r="I93"/>
  <c r="C109" s="1"/>
  <c r="I61"/>
  <c r="B63"/>
  <c r="B95"/>
  <c r="B120"/>
  <c r="C63"/>
  <c r="C95"/>
  <c r="D54"/>
  <c r="D92" s="1"/>
  <c r="C60"/>
  <c r="C92"/>
  <c r="D36"/>
  <c r="D91"/>
  <c r="C34"/>
  <c r="C89"/>
  <c r="D34"/>
  <c r="D89"/>
  <c r="C153"/>
  <c r="M76" i="23"/>
  <c r="N75"/>
  <c r="M38"/>
  <c r="N37"/>
  <c r="D60" i="8"/>
  <c r="B64"/>
  <c r="B96"/>
  <c r="I89"/>
  <c r="C105" s="1"/>
  <c r="I34"/>
  <c r="M89"/>
  <c r="D105" s="1"/>
  <c r="M34"/>
  <c r="H36"/>
  <c r="H91"/>
  <c r="O34"/>
  <c r="O89"/>
  <c r="G91"/>
  <c r="T89"/>
  <c r="P34"/>
  <c r="P89"/>
  <c r="M36" i="11"/>
  <c r="J27" i="8"/>
  <c r="C13"/>
  <c r="N4" i="23"/>
  <c r="M5"/>
  <c r="D163" i="8"/>
  <c r="D165" s="1"/>
  <c r="D166" s="1"/>
  <c r="M14" i="21"/>
  <c r="I14"/>
  <c r="C163" i="8"/>
  <c r="C62"/>
  <c r="C94"/>
  <c r="G16" i="9"/>
  <c r="D56" i="8"/>
  <c r="D13" i="5"/>
  <c r="F35" s="1"/>
  <c r="D13" i="20"/>
  <c r="E35" s="1"/>
  <c r="D12" i="5"/>
  <c r="E35" s="1"/>
  <c r="C37" i="8"/>
  <c r="C70" s="1"/>
  <c r="G20" i="13"/>
  <c r="D9" i="8"/>
  <c r="D15" s="1"/>
  <c r="I16" i="13"/>
  <c r="F8" i="8"/>
  <c r="F14" s="1"/>
  <c r="G12" i="13"/>
  <c r="D7" i="8"/>
  <c r="D153" s="1"/>
  <c r="J61"/>
  <c r="J93"/>
  <c r="N12" i="9"/>
  <c r="K55" i="8"/>
  <c r="E46"/>
  <c r="E92"/>
  <c r="B108" s="1"/>
  <c r="E60"/>
  <c r="H6" i="16"/>
  <c r="W23"/>
  <c r="W23" i="17" s="1"/>
  <c r="U21" i="16"/>
  <c r="T20"/>
  <c r="Q17"/>
  <c r="P16"/>
  <c r="M13"/>
  <c r="L12"/>
  <c r="R18"/>
  <c r="O15"/>
  <c r="V22"/>
  <c r="V22" i="17" s="1"/>
  <c r="S19" i="16"/>
  <c r="N14"/>
  <c r="I8" i="13"/>
  <c r="F6" i="8"/>
  <c r="D63"/>
  <c r="D95"/>
  <c r="D61"/>
  <c r="D93"/>
  <c r="E41" i="20"/>
  <c r="B119" i="8"/>
  <c r="B47"/>
  <c r="B51" s="1"/>
  <c r="B71" s="1"/>
  <c r="B16"/>
  <c r="B88"/>
  <c r="G63"/>
  <c r="G95"/>
  <c r="C120"/>
  <c r="C96"/>
  <c r="C64"/>
  <c r="E41" i="5"/>
  <c r="G45" i="3" s="1"/>
  <c r="G47" s="1"/>
  <c r="G49" s="1"/>
  <c r="D36" i="5"/>
  <c r="E49" i="2" s="1"/>
  <c r="D35" i="5"/>
  <c r="G39" i="1" s="1"/>
  <c r="M20" i="4"/>
  <c r="E13" i="6"/>
  <c r="G36" s="1"/>
  <c r="B14"/>
  <c r="D13"/>
  <c r="G35" s="1"/>
  <c r="F35" i="20"/>
  <c r="G29" i="8"/>
  <c r="D31"/>
  <c r="D86"/>
  <c r="G35"/>
  <c r="G90"/>
  <c r="J96"/>
  <c r="J64"/>
  <c r="E35" i="6"/>
  <c r="H39" i="1" s="1"/>
  <c r="H47" s="1"/>
  <c r="F36" i="7"/>
  <c r="I24" i="12"/>
  <c r="F44" i="8"/>
  <c r="F50" s="1"/>
  <c r="I16" i="12"/>
  <c r="F42" i="8"/>
  <c r="F48" s="1"/>
  <c r="I8" i="12"/>
  <c r="F40" i="8"/>
  <c r="I8" i="9"/>
  <c r="F54" i="8"/>
  <c r="F20" i="12"/>
  <c r="C43" i="8"/>
  <c r="E84"/>
  <c r="E12"/>
  <c r="E95"/>
  <c r="B111" s="1"/>
  <c r="E63"/>
  <c r="E93"/>
  <c r="B109" s="1"/>
  <c r="E61"/>
  <c r="C12" i="6"/>
  <c r="C101" i="4"/>
  <c r="D32" i="2" s="1"/>
  <c r="D95" i="4"/>
  <c r="F83"/>
  <c r="E93"/>
  <c r="F31" i="2" s="1"/>
  <c r="F12" i="12"/>
  <c r="C41" i="8"/>
  <c r="F24" i="13"/>
  <c r="C10" i="8"/>
  <c r="K20" i="9"/>
  <c r="H57" i="8"/>
  <c r="G24" i="9"/>
  <c r="D58" i="8"/>
  <c r="F45" i="3"/>
  <c r="F47" s="1"/>
  <c r="F49" s="1"/>
  <c r="G60" i="18"/>
  <c r="H6" i="15"/>
  <c r="W23"/>
  <c r="U21"/>
  <c r="V22"/>
  <c r="T20"/>
  <c r="S19"/>
  <c r="R18"/>
  <c r="Q17"/>
  <c r="P16"/>
  <c r="O15"/>
  <c r="N14"/>
  <c r="M13"/>
  <c r="L12"/>
  <c r="B85" i="8"/>
  <c r="B87"/>
  <c r="C118"/>
  <c r="D118"/>
  <c r="D109" i="4"/>
  <c r="E33" i="2" s="1"/>
  <c r="E103" i="4"/>
  <c r="D12" i="6"/>
  <c r="F35" s="1"/>
  <c r="D93" i="4"/>
  <c r="E31" i="2" s="1"/>
  <c r="K8" i="11"/>
  <c r="H20" i="8"/>
  <c r="H16" i="11"/>
  <c r="E22" i="8"/>
  <c r="H24" i="11"/>
  <c r="E24" i="8"/>
  <c r="E33" s="1"/>
  <c r="K32" i="11"/>
  <c r="H26" i="8"/>
  <c r="N24" i="9"/>
  <c r="K58" i="8"/>
  <c r="E36" i="6"/>
  <c r="F49" i="2" s="1"/>
  <c r="E14" i="5"/>
  <c r="G36" s="1"/>
  <c r="H49" i="2" s="1"/>
  <c r="B15" i="5"/>
  <c r="G49" i="2"/>
  <c r="D11" i="7"/>
  <c r="D15" i="20"/>
  <c r="G35" s="1"/>
  <c r="D16"/>
  <c r="H35" s="1"/>
  <c r="E17"/>
  <c r="D17" s="1"/>
  <c r="I35" s="1"/>
  <c r="B18"/>
  <c r="E13" i="7"/>
  <c r="H36" s="1"/>
  <c r="B14"/>
  <c r="B69" i="4" l="1"/>
  <c r="B17" i="8"/>
  <c r="B69" s="1"/>
  <c r="C13" i="5"/>
  <c r="J79" i="4"/>
  <c r="F93"/>
  <c r="G31" i="2" s="1"/>
  <c r="G83" i="4"/>
  <c r="C14" i="20"/>
  <c r="B65" i="8"/>
  <c r="B72" s="1"/>
  <c r="D37"/>
  <c r="D70" s="1"/>
  <c r="D3" i="19"/>
  <c r="L3" s="1"/>
  <c r="C65" i="8"/>
  <c r="C72" s="1"/>
  <c r="N76" i="23"/>
  <c r="O75"/>
  <c r="N38"/>
  <c r="O37"/>
  <c r="J36" i="8"/>
  <c r="J91"/>
  <c r="N36" i="11"/>
  <c r="K27" i="8"/>
  <c r="O4" i="23"/>
  <c r="N5"/>
  <c r="E163" i="8"/>
  <c r="E165" s="1"/>
  <c r="E166" s="1"/>
  <c r="D62"/>
  <c r="D94"/>
  <c r="E56"/>
  <c r="H16" i="9"/>
  <c r="D13" i="8"/>
  <c r="D13" i="7"/>
  <c r="H35" s="1"/>
  <c r="D14" i="5"/>
  <c r="G35" s="1"/>
  <c r="J39" i="1" s="1"/>
  <c r="J47" s="1"/>
  <c r="H20" i="13"/>
  <c r="E9" i="8"/>
  <c r="E15" s="1"/>
  <c r="J16" i="13"/>
  <c r="G8" i="8"/>
  <c r="G14" s="1"/>
  <c r="H12" i="13"/>
  <c r="E7" i="8"/>
  <c r="E153" s="1"/>
  <c r="K61"/>
  <c r="K93"/>
  <c r="O12" i="9"/>
  <c r="L55" i="8"/>
  <c r="E14" i="7"/>
  <c r="B15"/>
  <c r="E15" i="5"/>
  <c r="B16"/>
  <c r="D15"/>
  <c r="H35" s="1"/>
  <c r="O24" i="9"/>
  <c r="L58" i="8"/>
  <c r="L32" i="11"/>
  <c r="I26" i="8"/>
  <c r="I24" i="11"/>
  <c r="F24" i="8"/>
  <c r="F33" s="1"/>
  <c r="I16" i="11"/>
  <c r="F22" i="8"/>
  <c r="F163" s="1"/>
  <c r="F165" s="1"/>
  <c r="F166" s="1"/>
  <c r="L8" i="11"/>
  <c r="I20" i="8"/>
  <c r="B97"/>
  <c r="W22" i="15"/>
  <c r="U20"/>
  <c r="T19"/>
  <c r="S18"/>
  <c r="R17"/>
  <c r="Q16"/>
  <c r="P15"/>
  <c r="O14"/>
  <c r="N13"/>
  <c r="M12"/>
  <c r="I6"/>
  <c r="V21"/>
  <c r="D64" i="8"/>
  <c r="D96"/>
  <c r="H95"/>
  <c r="H63"/>
  <c r="C16"/>
  <c r="C17" s="1"/>
  <c r="C69" s="1"/>
  <c r="C88"/>
  <c r="C117"/>
  <c r="C47"/>
  <c r="C119"/>
  <c r="C85"/>
  <c r="E95" i="4"/>
  <c r="D101"/>
  <c r="E32" i="2" s="1"/>
  <c r="F41" i="6"/>
  <c r="C13"/>
  <c r="C49" i="8"/>
  <c r="C87"/>
  <c r="F60"/>
  <c r="F92"/>
  <c r="F46"/>
  <c r="M23" i="4"/>
  <c r="N18"/>
  <c r="M21"/>
  <c r="P29" i="1"/>
  <c r="J8" i="13"/>
  <c r="G6" i="8"/>
  <c r="N14" i="17"/>
  <c r="R18"/>
  <c r="L12"/>
  <c r="P16"/>
  <c r="T20"/>
  <c r="W22" i="16"/>
  <c r="T19"/>
  <c r="T19" i="17" s="1"/>
  <c r="S18" i="16"/>
  <c r="S18" i="17" s="1"/>
  <c r="P15" i="16"/>
  <c r="P15" i="17" s="1"/>
  <c r="O14" i="16"/>
  <c r="O14" i="17" s="1"/>
  <c r="V21" i="16"/>
  <c r="V21" i="17" s="1"/>
  <c r="Q16" i="16"/>
  <c r="Q16" i="17" s="1"/>
  <c r="N13" i="16"/>
  <c r="I6"/>
  <c r="U20"/>
  <c r="U20" i="17" s="1"/>
  <c r="R17" i="16"/>
  <c r="R17" i="17" s="1"/>
  <c r="M12" i="16"/>
  <c r="M12" i="17" s="1"/>
  <c r="E18" i="20"/>
  <c r="J36" s="1"/>
  <c r="B19"/>
  <c r="I36"/>
  <c r="C12" i="7"/>
  <c r="F35"/>
  <c r="I39" i="1" s="1"/>
  <c r="I47" s="1"/>
  <c r="K96" i="8"/>
  <c r="K64"/>
  <c r="H35"/>
  <c r="H90"/>
  <c r="E86"/>
  <c r="B102" s="1"/>
  <c r="E31"/>
  <c r="E37" s="1"/>
  <c r="E70" s="1"/>
  <c r="B77" s="1"/>
  <c r="E118"/>
  <c r="B125" s="1"/>
  <c r="H29"/>
  <c r="F103" i="4"/>
  <c r="F109" s="1"/>
  <c r="G33" i="2" s="1"/>
  <c r="E109" i="4"/>
  <c r="F33" i="2" s="1"/>
  <c r="H24" i="9"/>
  <c r="E58" i="8"/>
  <c r="L20" i="9"/>
  <c r="I57" i="8"/>
  <c r="G24" i="13"/>
  <c r="D10" i="8"/>
  <c r="G12" i="12"/>
  <c r="D41" i="8"/>
  <c r="D155" s="1"/>
  <c r="D156" s="1"/>
  <c r="B73"/>
  <c r="B100"/>
  <c r="G20" i="12"/>
  <c r="D43" i="8"/>
  <c r="J8" i="9"/>
  <c r="G54" i="8"/>
  <c r="G40"/>
  <c r="J8" i="12"/>
  <c r="G42" i="8"/>
  <c r="G48" s="1"/>
  <c r="J16" i="12"/>
  <c r="G44" i="8"/>
  <c r="G50" s="1"/>
  <c r="J24" i="12"/>
  <c r="E14" i="6"/>
  <c r="H36" s="1"/>
  <c r="B15"/>
  <c r="C14" i="5"/>
  <c r="F41"/>
  <c r="B121" i="8"/>
  <c r="F41" i="20"/>
  <c r="G41"/>
  <c r="C15"/>
  <c r="D120" i="8"/>
  <c r="F12"/>
  <c r="F84"/>
  <c r="S19" i="17"/>
  <c r="O15"/>
  <c r="M13"/>
  <c r="Q17"/>
  <c r="U21"/>
  <c r="H83" i="4" l="1"/>
  <c r="G93"/>
  <c r="H31" i="2" s="1"/>
  <c r="B132" i="8"/>
  <c r="K79" i="4"/>
  <c r="D18" i="20"/>
  <c r="J35" s="1"/>
  <c r="D65" i="8"/>
  <c r="D72" s="1"/>
  <c r="O76" i="23"/>
  <c r="P75"/>
  <c r="O38"/>
  <c r="P37"/>
  <c r="K91" i="8"/>
  <c r="K36"/>
  <c r="L27"/>
  <c r="O36" i="11"/>
  <c r="P4" i="23"/>
  <c r="O5"/>
  <c r="I16" i="9"/>
  <c r="F56" i="8"/>
  <c r="E94"/>
  <c r="B110" s="1"/>
  <c r="E62"/>
  <c r="D14" i="6"/>
  <c r="H35" s="1"/>
  <c r="K39" i="1" s="1"/>
  <c r="K47" s="1"/>
  <c r="E13" i="8"/>
  <c r="C51"/>
  <c r="C71" s="1"/>
  <c r="C73" s="1"/>
  <c r="F9"/>
  <c r="F15" s="1"/>
  <c r="I20" i="13"/>
  <c r="K16"/>
  <c r="H8" i="8"/>
  <c r="H14" s="1"/>
  <c r="F7"/>
  <c r="F153" s="1"/>
  <c r="I12" i="13"/>
  <c r="B71" i="4"/>
  <c r="L61" i="8"/>
  <c r="L93"/>
  <c r="M55"/>
  <c r="P12" i="9"/>
  <c r="C16" i="20"/>
  <c r="H41"/>
  <c r="H45" i="3"/>
  <c r="H47" s="1"/>
  <c r="H49" s="1"/>
  <c r="B16" i="6"/>
  <c r="E15"/>
  <c r="K24" i="12"/>
  <c r="H44" i="8"/>
  <c r="H50" s="1"/>
  <c r="K16" i="12"/>
  <c r="H42" i="8"/>
  <c r="H48" s="1"/>
  <c r="K8" i="12"/>
  <c r="H40" i="8"/>
  <c r="G60"/>
  <c r="G92"/>
  <c r="D49"/>
  <c r="D87"/>
  <c r="D119"/>
  <c r="D85"/>
  <c r="D47"/>
  <c r="D51" s="1"/>
  <c r="D71" s="1"/>
  <c r="D16"/>
  <c r="D17" s="1"/>
  <c r="D69" s="1"/>
  <c r="D88"/>
  <c r="D117"/>
  <c r="I95"/>
  <c r="C111" s="1"/>
  <c r="I63"/>
  <c r="E96"/>
  <c r="B112" s="1"/>
  <c r="E64"/>
  <c r="E65" s="1"/>
  <c r="E72" s="1"/>
  <c r="E120"/>
  <c r="B127" s="1"/>
  <c r="W21" i="16"/>
  <c r="J6"/>
  <c r="V20"/>
  <c r="S17"/>
  <c r="S17" i="17" s="1"/>
  <c r="R16" i="16"/>
  <c r="O13"/>
  <c r="O13" i="17" s="1"/>
  <c r="N12" i="16"/>
  <c r="L10"/>
  <c r="K9"/>
  <c r="U19"/>
  <c r="U19" i="17" s="1"/>
  <c r="P14" i="16"/>
  <c r="M11"/>
  <c r="I7"/>
  <c r="T18"/>
  <c r="Q15"/>
  <c r="J8"/>
  <c r="G12" i="8"/>
  <c r="G84"/>
  <c r="B79"/>
  <c r="O24" i="4"/>
  <c r="C97" i="8"/>
  <c r="W21" i="15"/>
  <c r="V20"/>
  <c r="U19"/>
  <c r="T18"/>
  <c r="S17"/>
  <c r="R16"/>
  <c r="Q15"/>
  <c r="P14"/>
  <c r="O13"/>
  <c r="N12"/>
  <c r="J6"/>
  <c r="M8" i="11"/>
  <c r="J20" i="8"/>
  <c r="J16" i="11"/>
  <c r="G22" i="8"/>
  <c r="J24" i="11"/>
  <c r="G24" i="8"/>
  <c r="G33" s="1"/>
  <c r="M32" i="11"/>
  <c r="J26" i="8"/>
  <c r="M58"/>
  <c r="P24" i="9"/>
  <c r="E16" i="5"/>
  <c r="I36" s="1"/>
  <c r="B17"/>
  <c r="B16" i="7"/>
  <c r="E15"/>
  <c r="J36" s="1"/>
  <c r="I36"/>
  <c r="C15" i="5"/>
  <c r="H41"/>
  <c r="G41"/>
  <c r="G46" i="8"/>
  <c r="H54"/>
  <c r="K8" i="9"/>
  <c r="E43" i="8"/>
  <c r="H20" i="12"/>
  <c r="E41" i="8"/>
  <c r="E155" s="1"/>
  <c r="E156" s="1"/>
  <c r="B67" i="4" s="1"/>
  <c r="H12" i="12"/>
  <c r="E10" i="8"/>
  <c r="H24" i="13"/>
  <c r="M20" i="9"/>
  <c r="J57" i="8"/>
  <c r="F58"/>
  <c r="I24" i="9"/>
  <c r="C13" i="7"/>
  <c r="G41"/>
  <c r="B20" i="20"/>
  <c r="E19"/>
  <c r="N13" i="17"/>
  <c r="W22"/>
  <c r="K8" i="13"/>
  <c r="H6" i="8"/>
  <c r="C14" i="6"/>
  <c r="G41"/>
  <c r="E101" i="4"/>
  <c r="F32" i="2" s="1"/>
  <c r="F95" i="4"/>
  <c r="F101" s="1"/>
  <c r="G32" i="2" s="1"/>
  <c r="C121" i="8"/>
  <c r="I29"/>
  <c r="F31"/>
  <c r="F37" s="1"/>
  <c r="F70" s="1"/>
  <c r="F118"/>
  <c r="F86"/>
  <c r="I90"/>
  <c r="C106" s="1"/>
  <c r="I35"/>
  <c r="L64"/>
  <c r="L96"/>
  <c r="H36" i="5"/>
  <c r="I49" i="2" s="1"/>
  <c r="D14" i="7"/>
  <c r="I45" i="3" l="1"/>
  <c r="I47" s="1"/>
  <c r="I49" s="1"/>
  <c r="I83" i="4"/>
  <c r="H93"/>
  <c r="I31" i="2" s="1"/>
  <c r="B134" i="8"/>
  <c r="B139"/>
  <c r="B145" s="1"/>
  <c r="P76" i="23"/>
  <c r="Q75"/>
  <c r="P38"/>
  <c r="Q37"/>
  <c r="P36" i="11"/>
  <c r="M27" i="8"/>
  <c r="L36"/>
  <c r="L91"/>
  <c r="Q4" i="23"/>
  <c r="P5"/>
  <c r="G163" i="8"/>
  <c r="G165" s="1"/>
  <c r="G166" s="1"/>
  <c r="F62"/>
  <c r="F94"/>
  <c r="G56"/>
  <c r="J16" i="9"/>
  <c r="F13" i="8"/>
  <c r="D16" i="5"/>
  <c r="G9" i="8"/>
  <c r="G15" s="1"/>
  <c r="J20" i="13"/>
  <c r="L16"/>
  <c r="I8" i="8"/>
  <c r="I14" s="1"/>
  <c r="J12" i="13"/>
  <c r="G7" i="8"/>
  <c r="G153" s="1"/>
  <c r="Q12" i="9"/>
  <c r="N55" i="8"/>
  <c r="M93"/>
  <c r="D109" s="1"/>
  <c r="M61"/>
  <c r="I35" i="7"/>
  <c r="C15" i="6"/>
  <c r="H41"/>
  <c r="I41"/>
  <c r="H12" i="8"/>
  <c r="H84"/>
  <c r="K36" i="20"/>
  <c r="D19"/>
  <c r="C14" i="7"/>
  <c r="H41"/>
  <c r="J24" i="9"/>
  <c r="H58" i="8" s="1"/>
  <c r="G58"/>
  <c r="J95"/>
  <c r="J63"/>
  <c r="I24" i="13"/>
  <c r="F10" i="8"/>
  <c r="E47"/>
  <c r="E119"/>
  <c r="B126" s="1"/>
  <c r="E85"/>
  <c r="E49"/>
  <c r="E87"/>
  <c r="B103" s="1"/>
  <c r="H60"/>
  <c r="H92"/>
  <c r="I41" i="5"/>
  <c r="C16"/>
  <c r="I35"/>
  <c r="M96" i="8"/>
  <c r="D112" s="1"/>
  <c r="M64"/>
  <c r="N32" i="11"/>
  <c r="K26" i="8"/>
  <c r="K24" i="11"/>
  <c r="H24" i="8"/>
  <c r="H33" s="1"/>
  <c r="K16" i="11"/>
  <c r="H22" i="8"/>
  <c r="H163" s="1"/>
  <c r="H165" s="1"/>
  <c r="H166" s="1"/>
  <c r="N8" i="11"/>
  <c r="K20" i="8"/>
  <c r="T18" i="17"/>
  <c r="K6" i="16"/>
  <c r="V19"/>
  <c r="U18"/>
  <c r="U18" i="17" s="1"/>
  <c r="R15" i="16"/>
  <c r="Q14"/>
  <c r="N11"/>
  <c r="K8"/>
  <c r="J7"/>
  <c r="W20"/>
  <c r="W20" i="17" s="1"/>
  <c r="T17" i="16"/>
  <c r="O12"/>
  <c r="O12" i="17" s="1"/>
  <c r="M10" i="16"/>
  <c r="S16"/>
  <c r="P13"/>
  <c r="L9"/>
  <c r="B46" i="4"/>
  <c r="C17" i="2" s="1"/>
  <c r="L8" i="12"/>
  <c r="I40" i="8"/>
  <c r="L16" i="12"/>
  <c r="I42" i="8"/>
  <c r="I48" s="1"/>
  <c r="L24" i="12"/>
  <c r="I44" i="8"/>
  <c r="I50" s="1"/>
  <c r="B17" i="6"/>
  <c r="E16"/>
  <c r="J36" s="1"/>
  <c r="C17" i="20"/>
  <c r="I41"/>
  <c r="I6" i="8"/>
  <c r="L8" i="13"/>
  <c r="E20" i="20"/>
  <c r="B39" s="1"/>
  <c r="B21"/>
  <c r="F64" i="8"/>
  <c r="F96"/>
  <c r="F120"/>
  <c r="N20" i="9"/>
  <c r="K57" i="8"/>
  <c r="E88"/>
  <c r="B104" s="1"/>
  <c r="E16"/>
  <c r="E17" s="1"/>
  <c r="E69" s="1"/>
  <c r="E117"/>
  <c r="I12" i="12"/>
  <c r="F41" i="8"/>
  <c r="F155" s="1"/>
  <c r="F156" s="1"/>
  <c r="I20" i="12"/>
  <c r="F43" i="8"/>
  <c r="L8" i="9"/>
  <c r="I54" i="8"/>
  <c r="D15" i="7"/>
  <c r="J35" s="1"/>
  <c r="B17"/>
  <c r="E16"/>
  <c r="K36" s="1"/>
  <c r="B18" i="5"/>
  <c r="E17"/>
  <c r="J36" s="1"/>
  <c r="Q24" i="9"/>
  <c r="N58" i="8"/>
  <c r="J35"/>
  <c r="J90"/>
  <c r="G31"/>
  <c r="G37" s="1"/>
  <c r="G70" s="1"/>
  <c r="G86"/>
  <c r="G118"/>
  <c r="J29"/>
  <c r="W20" i="15"/>
  <c r="S16"/>
  <c r="O12"/>
  <c r="V19"/>
  <c r="R15"/>
  <c r="P13"/>
  <c r="U18"/>
  <c r="T17"/>
  <c r="K6"/>
  <c r="Q14"/>
  <c r="Q15" i="17"/>
  <c r="P14"/>
  <c r="N12"/>
  <c r="R16"/>
  <c r="V20"/>
  <c r="W21"/>
  <c r="D121" i="8"/>
  <c r="D73"/>
  <c r="D97"/>
  <c r="H46"/>
  <c r="I36" i="6"/>
  <c r="J49" i="2" s="1"/>
  <c r="D15" i="6"/>
  <c r="B133" i="8" l="1"/>
  <c r="J45" i="3"/>
  <c r="J47" s="1"/>
  <c r="J49" s="1"/>
  <c r="K49" i="2"/>
  <c r="J83" i="4"/>
  <c r="I93"/>
  <c r="J31" i="2" s="1"/>
  <c r="F65" i="8"/>
  <c r="F72" s="1"/>
  <c r="Q76" i="23"/>
  <c r="R75"/>
  <c r="Q38"/>
  <c r="R37"/>
  <c r="M36" i="8"/>
  <c r="M91"/>
  <c r="D107" s="1"/>
  <c r="Q36" i="11"/>
  <c r="N27" i="8"/>
  <c r="R4" i="23"/>
  <c r="Q5"/>
  <c r="K16" i="9"/>
  <c r="H56" i="8"/>
  <c r="G94"/>
  <c r="G62"/>
  <c r="D20" i="20"/>
  <c r="B38" s="1"/>
  <c r="G13" i="8"/>
  <c r="D17" i="5"/>
  <c r="J35" s="1"/>
  <c r="E51" i="8"/>
  <c r="E71" s="1"/>
  <c r="E73" s="1"/>
  <c r="K20" i="13"/>
  <c r="H9" i="8"/>
  <c r="H15" s="1"/>
  <c r="J8"/>
  <c r="J14" s="1"/>
  <c r="M16" i="13"/>
  <c r="K12"/>
  <c r="H7" i="8"/>
  <c r="H153" s="1"/>
  <c r="B73" i="4"/>
  <c r="N93" i="8"/>
  <c r="N61"/>
  <c r="R12" i="9"/>
  <c r="O55" i="8"/>
  <c r="R24" i="9"/>
  <c r="O58" i="8"/>
  <c r="D16" i="7"/>
  <c r="M8" i="9"/>
  <c r="J54" i="8"/>
  <c r="J20" i="12"/>
  <c r="G43" i="8"/>
  <c r="J12" i="12"/>
  <c r="G41" i="8"/>
  <c r="G155" s="1"/>
  <c r="G156" s="1"/>
  <c r="K95"/>
  <c r="K63"/>
  <c r="M8" i="13"/>
  <c r="J6" i="8"/>
  <c r="D16" i="6"/>
  <c r="J35" s="1"/>
  <c r="M24" i="12"/>
  <c r="J44" i="8"/>
  <c r="J50" s="1"/>
  <c r="M16" i="12"/>
  <c r="J42" i="8"/>
  <c r="J48" s="1"/>
  <c r="M8" i="12"/>
  <c r="J40" i="8"/>
  <c r="S16" i="17"/>
  <c r="Q14"/>
  <c r="U17" i="16"/>
  <c r="U17" i="17" s="1"/>
  <c r="T16" i="16"/>
  <c r="Q13"/>
  <c r="P12"/>
  <c r="N10"/>
  <c r="M9"/>
  <c r="V18"/>
  <c r="S15"/>
  <c r="L8"/>
  <c r="W19"/>
  <c r="L6"/>
  <c r="R14"/>
  <c r="O11"/>
  <c r="K7"/>
  <c r="K29" i="8"/>
  <c r="H31"/>
  <c r="H37" s="1"/>
  <c r="H70" s="1"/>
  <c r="H86"/>
  <c r="H118"/>
  <c r="K35"/>
  <c r="K90"/>
  <c r="J41" i="5"/>
  <c r="C17"/>
  <c r="B101" i="8"/>
  <c r="B138" s="1"/>
  <c r="B144" s="1"/>
  <c r="B146" s="1"/>
  <c r="E97"/>
  <c r="B70" i="4"/>
  <c r="J24" i="13"/>
  <c r="G10" i="8"/>
  <c r="H64"/>
  <c r="H96"/>
  <c r="J41" i="7"/>
  <c r="C15"/>
  <c r="I41"/>
  <c r="K45" i="3" s="1"/>
  <c r="K47" s="1"/>
  <c r="K49" s="1"/>
  <c r="I35" i="6"/>
  <c r="L39" i="1" s="1"/>
  <c r="L47" s="1"/>
  <c r="B76" i="8"/>
  <c r="W19" i="15"/>
  <c r="V18"/>
  <c r="R14"/>
  <c r="T16"/>
  <c r="P12"/>
  <c r="L6"/>
  <c r="U17"/>
  <c r="S15"/>
  <c r="Q13"/>
  <c r="N64" i="8"/>
  <c r="N96"/>
  <c r="E18" i="5"/>
  <c r="B19"/>
  <c r="E17" i="7"/>
  <c r="B39" s="1"/>
  <c r="B18"/>
  <c r="I92" i="8"/>
  <c r="C108" s="1"/>
  <c r="I60"/>
  <c r="F49"/>
  <c r="F87"/>
  <c r="F47"/>
  <c r="F119"/>
  <c r="F85"/>
  <c r="B124"/>
  <c r="E121"/>
  <c r="B131"/>
  <c r="B135" s="1"/>
  <c r="O20" i="9"/>
  <c r="L57" i="8"/>
  <c r="E21" i="20"/>
  <c r="B22"/>
  <c r="I84" i="8"/>
  <c r="I12"/>
  <c r="J41" i="20"/>
  <c r="C18"/>
  <c r="E17" i="6"/>
  <c r="D17" s="1"/>
  <c r="K35" s="1"/>
  <c r="B18"/>
  <c r="I46" i="8"/>
  <c r="B72" i="4"/>
  <c r="P13" i="17"/>
  <c r="T17"/>
  <c r="R15"/>
  <c r="V19"/>
  <c r="O8" i="11"/>
  <c r="L20" i="8"/>
  <c r="L16" i="11"/>
  <c r="I22" i="8"/>
  <c r="L24" i="11"/>
  <c r="I24" i="8"/>
  <c r="I33" s="1"/>
  <c r="O32" i="11"/>
  <c r="L26" i="8"/>
  <c r="H120"/>
  <c r="F16"/>
  <c r="F17" s="1"/>
  <c r="F69" s="1"/>
  <c r="F88"/>
  <c r="F117"/>
  <c r="G96"/>
  <c r="G64"/>
  <c r="G120"/>
  <c r="K35" i="20"/>
  <c r="C16" i="6"/>
  <c r="J41"/>
  <c r="D17" i="7" l="1"/>
  <c r="B38" s="1"/>
  <c r="M39" i="1"/>
  <c r="M47" s="1"/>
  <c r="L45" i="3"/>
  <c r="L47" s="1"/>
  <c r="L49" s="1"/>
  <c r="K83" i="4"/>
  <c r="K93" s="1"/>
  <c r="L31" i="2" s="1"/>
  <c r="J93" i="4"/>
  <c r="K31" i="2" s="1"/>
  <c r="R76" i="23"/>
  <c r="S75"/>
  <c r="R38"/>
  <c r="S37"/>
  <c r="G65" i="8"/>
  <c r="G72" s="1"/>
  <c r="N91"/>
  <c r="N36"/>
  <c r="R36" i="11"/>
  <c r="O27" i="8"/>
  <c r="S4" i="23"/>
  <c r="R5"/>
  <c r="I163" i="8"/>
  <c r="I165" s="1"/>
  <c r="I166" s="1"/>
  <c r="B123" i="4"/>
  <c r="B127" s="1"/>
  <c r="C36" i="2" s="1"/>
  <c r="B117" i="4"/>
  <c r="H62" i="8"/>
  <c r="H94"/>
  <c r="H65"/>
  <c r="H72" s="1"/>
  <c r="L16" i="9"/>
  <c r="I56" i="8"/>
  <c r="H13"/>
  <c r="F51"/>
  <c r="F71" s="1"/>
  <c r="F73" s="1"/>
  <c r="B78"/>
  <c r="L20" i="13"/>
  <c r="I9" i="8"/>
  <c r="I15" s="1"/>
  <c r="K8"/>
  <c r="K14" s="1"/>
  <c r="N16" i="13"/>
  <c r="I7" i="8"/>
  <c r="I153" s="1"/>
  <c r="L12" i="13"/>
  <c r="O61" i="8"/>
  <c r="O93"/>
  <c r="S12" i="9"/>
  <c r="P55" i="8"/>
  <c r="C17" i="6"/>
  <c r="K41"/>
  <c r="F121" i="8"/>
  <c r="P32" i="11"/>
  <c r="M26" i="8"/>
  <c r="M24" i="11"/>
  <c r="J24" i="8"/>
  <c r="J33" s="1"/>
  <c r="M16" i="11"/>
  <c r="J22" i="8"/>
  <c r="J163" s="1"/>
  <c r="J165" s="1"/>
  <c r="J166" s="1"/>
  <c r="P8" i="11"/>
  <c r="M20" i="8"/>
  <c r="K36" i="6"/>
  <c r="C100" i="8"/>
  <c r="C39" i="20"/>
  <c r="L63" i="8"/>
  <c r="L95"/>
  <c r="B128"/>
  <c r="E18" i="7"/>
  <c r="B19"/>
  <c r="D18"/>
  <c r="C38" s="1"/>
  <c r="B20" i="5"/>
  <c r="E19"/>
  <c r="B39" s="1"/>
  <c r="K36"/>
  <c r="L49" i="2" s="1"/>
  <c r="V17" i="15"/>
  <c r="R13"/>
  <c r="W18"/>
  <c r="S14"/>
  <c r="M6"/>
  <c r="Q12"/>
  <c r="U16"/>
  <c r="T15"/>
  <c r="B80" i="8"/>
  <c r="B31" i="4" s="1"/>
  <c r="K24" i="13"/>
  <c r="H10" i="8"/>
  <c r="W18" i="16"/>
  <c r="T15"/>
  <c r="T15" i="17" s="1"/>
  <c r="S14" i="16"/>
  <c r="S14" i="17" s="1"/>
  <c r="P11" i="16"/>
  <c r="M8"/>
  <c r="L7"/>
  <c r="M6"/>
  <c r="U16"/>
  <c r="U16" i="17" s="1"/>
  <c r="R13" i="16"/>
  <c r="R13" i="17" s="1"/>
  <c r="N9" i="16"/>
  <c r="V17"/>
  <c r="Q12"/>
  <c r="Q12" i="17" s="1"/>
  <c r="O10" i="16"/>
  <c r="V18" i="17"/>
  <c r="Q13"/>
  <c r="N8" i="12"/>
  <c r="K40" i="8"/>
  <c r="N16" i="12"/>
  <c r="K42" i="8"/>
  <c r="K48" s="1"/>
  <c r="N24" i="12"/>
  <c r="K44" i="8"/>
  <c r="K50" s="1"/>
  <c r="N8" i="13"/>
  <c r="K6" i="8"/>
  <c r="G47"/>
  <c r="G119"/>
  <c r="G85"/>
  <c r="G49"/>
  <c r="G87"/>
  <c r="J92"/>
  <c r="J60"/>
  <c r="O64"/>
  <c r="O96"/>
  <c r="C69" i="4"/>
  <c r="L35" i="8"/>
  <c r="L90"/>
  <c r="I31"/>
  <c r="I37" s="1"/>
  <c r="I70" s="1"/>
  <c r="C77" s="1"/>
  <c r="I86"/>
  <c r="I118"/>
  <c r="C125" s="1"/>
  <c r="L29"/>
  <c r="E18" i="6"/>
  <c r="B39" s="1"/>
  <c r="B19"/>
  <c r="C19" i="20"/>
  <c r="C20" s="1"/>
  <c r="C21" s="1"/>
  <c r="K41"/>
  <c r="E22"/>
  <c r="D39" s="1"/>
  <c r="B23"/>
  <c r="P20" i="9"/>
  <c r="M57" i="8"/>
  <c r="F97"/>
  <c r="D18" i="5"/>
  <c r="C16" i="7"/>
  <c r="K41"/>
  <c r="G16" i="8"/>
  <c r="G17" s="1"/>
  <c r="G69" s="1"/>
  <c r="G88"/>
  <c r="G117"/>
  <c r="B77" i="4"/>
  <c r="C30" i="2" s="1"/>
  <c r="B113" i="8"/>
  <c r="C33" i="22" s="1"/>
  <c r="C18" i="5"/>
  <c r="K41"/>
  <c r="R14" i="17"/>
  <c r="W19"/>
  <c r="S15"/>
  <c r="P12"/>
  <c r="T16"/>
  <c r="J46" i="8"/>
  <c r="J12"/>
  <c r="J84"/>
  <c r="K12" i="12"/>
  <c r="H41" i="8"/>
  <c r="H155" s="1"/>
  <c r="H156" s="1"/>
  <c r="K20" i="12"/>
  <c r="H43" i="8"/>
  <c r="N8" i="9"/>
  <c r="K54" i="8"/>
  <c r="K35" i="7"/>
  <c r="S24" i="9"/>
  <c r="P58" i="8"/>
  <c r="M45" i="3" l="1"/>
  <c r="M47" s="1"/>
  <c r="M49" s="1"/>
  <c r="C132" i="8"/>
  <c r="S76" i="23"/>
  <c r="T75"/>
  <c r="S38"/>
  <c r="T37"/>
  <c r="O91" i="8"/>
  <c r="O36"/>
  <c r="S36" i="11"/>
  <c r="P27" i="8"/>
  <c r="T4" i="23"/>
  <c r="S5"/>
  <c r="M16" i="9"/>
  <c r="J56" i="8"/>
  <c r="I94"/>
  <c r="C110" s="1"/>
  <c r="C139" s="1"/>
  <c r="C145" s="1"/>
  <c r="I120"/>
  <c r="C134" s="1"/>
  <c r="I62"/>
  <c r="I65" s="1"/>
  <c r="I72" s="1"/>
  <c r="C79" s="1"/>
  <c r="I13"/>
  <c r="D18" i="6"/>
  <c r="B38" s="1"/>
  <c r="C19" i="5"/>
  <c r="D19"/>
  <c r="B38" s="1"/>
  <c r="M20" i="13"/>
  <c r="J9" i="8"/>
  <c r="J15" s="1"/>
  <c r="L8"/>
  <c r="L14" s="1"/>
  <c r="O16" i="13"/>
  <c r="M12"/>
  <c r="J7" i="8"/>
  <c r="J153" s="1"/>
  <c r="P61"/>
  <c r="P93"/>
  <c r="T12" i="9"/>
  <c r="Q55" i="8"/>
  <c r="P64"/>
  <c r="P96"/>
  <c r="K92"/>
  <c r="K60"/>
  <c r="H49"/>
  <c r="H87"/>
  <c r="H47"/>
  <c r="H51" s="1"/>
  <c r="H71" s="1"/>
  <c r="H85"/>
  <c r="H119"/>
  <c r="M95"/>
  <c r="D111" s="1"/>
  <c r="M63"/>
  <c r="D21" i="20"/>
  <c r="B20" i="6"/>
  <c r="E19"/>
  <c r="C102" i="8"/>
  <c r="C71" i="4"/>
  <c r="O8" i="13"/>
  <c r="L6" i="8"/>
  <c r="O24" i="12"/>
  <c r="L44" i="8"/>
  <c r="L50" s="1"/>
  <c r="O16" i="12"/>
  <c r="L42" i="8"/>
  <c r="L48" s="1"/>
  <c r="O8" i="12"/>
  <c r="L40" i="8"/>
  <c r="H16"/>
  <c r="H17" s="1"/>
  <c r="H69" s="1"/>
  <c r="H88"/>
  <c r="H117"/>
  <c r="T14" i="15"/>
  <c r="N6"/>
  <c r="S13"/>
  <c r="U15"/>
  <c r="V16"/>
  <c r="W17"/>
  <c r="R12"/>
  <c r="C39" i="7"/>
  <c r="M29" i="8"/>
  <c r="J31"/>
  <c r="J37" s="1"/>
  <c r="J70" s="1"/>
  <c r="J86"/>
  <c r="J118"/>
  <c r="M90"/>
  <c r="D106" s="1"/>
  <c r="M35"/>
  <c r="C18" i="6"/>
  <c r="L41"/>
  <c r="Q58" i="8"/>
  <c r="T24" i="9"/>
  <c r="O8"/>
  <c r="L54" i="8"/>
  <c r="I43"/>
  <c r="L20" i="12"/>
  <c r="I41" i="8"/>
  <c r="I155" s="1"/>
  <c r="I156" s="1"/>
  <c r="C67" i="4" s="1"/>
  <c r="L12" i="12"/>
  <c r="G121" i="8"/>
  <c r="C17" i="7"/>
  <c r="L41"/>
  <c r="K35" i="5"/>
  <c r="N39" i="1" s="1"/>
  <c r="N47" s="1"/>
  <c r="Q20" i="9"/>
  <c r="N57" i="8"/>
  <c r="B24" i="20"/>
  <c r="E23"/>
  <c r="E39" s="1"/>
  <c r="G97" i="8"/>
  <c r="G51"/>
  <c r="G71" s="1"/>
  <c r="K12"/>
  <c r="K84"/>
  <c r="K46"/>
  <c r="V17" i="17"/>
  <c r="W17" i="16"/>
  <c r="W17" i="17" s="1"/>
  <c r="N6" i="16"/>
  <c r="V16"/>
  <c r="V16" i="17" s="1"/>
  <c r="S13" i="16"/>
  <c r="R12"/>
  <c r="R12" i="17" s="1"/>
  <c r="P10" i="16"/>
  <c r="O9"/>
  <c r="T14"/>
  <c r="Q11"/>
  <c r="M7"/>
  <c r="U15"/>
  <c r="U15" i="17" s="1"/>
  <c r="N8" i="16"/>
  <c r="W18" i="17"/>
  <c r="I10" i="8"/>
  <c r="L24" i="13"/>
  <c r="C12" i="2"/>
  <c r="B33" i="4"/>
  <c r="B121"/>
  <c r="C35" i="2" s="1"/>
  <c r="B21" i="5"/>
  <c r="E20"/>
  <c r="B20" i="7"/>
  <c r="E19"/>
  <c r="D39" s="1"/>
  <c r="Q8" i="11"/>
  <c r="N20" i="8"/>
  <c r="N16" i="11"/>
  <c r="K22" i="8"/>
  <c r="N24" i="11"/>
  <c r="K24" i="8"/>
  <c r="K33" s="1"/>
  <c r="Q32" i="11"/>
  <c r="N26" i="8"/>
  <c r="C133" l="1"/>
  <c r="T76" i="23"/>
  <c r="U75"/>
  <c r="T38"/>
  <c r="U37"/>
  <c r="P91" i="8"/>
  <c r="P36"/>
  <c r="T36" i="11"/>
  <c r="Q27" i="8"/>
  <c r="U4" i="23"/>
  <c r="T5"/>
  <c r="K163" i="8"/>
  <c r="K165" s="1"/>
  <c r="K166" s="1"/>
  <c r="C127"/>
  <c r="C46" i="4" s="1"/>
  <c r="D17" i="2" s="1"/>
  <c r="J120" i="8"/>
  <c r="J62"/>
  <c r="J65" s="1"/>
  <c r="J72" s="1"/>
  <c r="J94"/>
  <c r="K56"/>
  <c r="N16" i="9"/>
  <c r="C20" i="5"/>
  <c r="C19" i="6"/>
  <c r="J13" i="8"/>
  <c r="D19" i="7"/>
  <c r="D38" s="1"/>
  <c r="N20" i="13"/>
  <c r="K9" i="8"/>
  <c r="K15" s="1"/>
  <c r="M8"/>
  <c r="M14" s="1"/>
  <c r="P16" i="13"/>
  <c r="N12"/>
  <c r="K7" i="8"/>
  <c r="K153" s="1"/>
  <c r="Q93"/>
  <c r="E109" s="1"/>
  <c r="Q61"/>
  <c r="U12" i="9"/>
  <c r="R55" i="8"/>
  <c r="N35"/>
  <c r="N90"/>
  <c r="K31"/>
  <c r="K37" s="1"/>
  <c r="K70" s="1"/>
  <c r="K86"/>
  <c r="K118"/>
  <c r="N29"/>
  <c r="C39" i="5"/>
  <c r="B22"/>
  <c r="E21"/>
  <c r="D39" s="1"/>
  <c r="B59" i="4"/>
  <c r="C24" i="2" s="1"/>
  <c r="B111" i="4"/>
  <c r="B115" s="1"/>
  <c r="C34" i="2" s="1"/>
  <c r="B137" i="4"/>
  <c r="M24" i="13"/>
  <c r="J10" i="8"/>
  <c r="I88"/>
  <c r="C104" s="1"/>
  <c r="I16"/>
  <c r="I17" s="1"/>
  <c r="I69" s="1"/>
  <c r="C76" s="1"/>
  <c r="I117"/>
  <c r="C131" s="1"/>
  <c r="E24" i="20"/>
  <c r="F39" s="1"/>
  <c r="B25"/>
  <c r="R20" i="9"/>
  <c r="O57" i="8"/>
  <c r="C18" i="7"/>
  <c r="C19" s="1"/>
  <c r="C20" s="1"/>
  <c r="M41"/>
  <c r="I47" i="8"/>
  <c r="I85"/>
  <c r="C70" i="4" s="1"/>
  <c r="I119" i="8"/>
  <c r="C126" s="1"/>
  <c r="I49"/>
  <c r="I87"/>
  <c r="C103" s="1"/>
  <c r="P8" i="9"/>
  <c r="M54" i="8"/>
  <c r="Q96"/>
  <c r="E112" s="1"/>
  <c r="Q64"/>
  <c r="L46"/>
  <c r="L12"/>
  <c r="L84"/>
  <c r="E20" i="6"/>
  <c r="D39" s="1"/>
  <c r="B21"/>
  <c r="C38" i="20"/>
  <c r="R32" i="11"/>
  <c r="O26" i="8"/>
  <c r="O24" i="11"/>
  <c r="L24" i="8"/>
  <c r="L33" s="1"/>
  <c r="O16" i="11"/>
  <c r="L22" i="8"/>
  <c r="L163" s="1"/>
  <c r="L165" s="1"/>
  <c r="L166" s="1"/>
  <c r="R8" i="11"/>
  <c r="O20" i="8"/>
  <c r="E20" i="7"/>
  <c r="E39" s="1"/>
  <c r="B21"/>
  <c r="D20" i="5"/>
  <c r="C38" s="1"/>
  <c r="M28" i="16"/>
  <c r="T14" i="17"/>
  <c r="S13"/>
  <c r="O6" i="16"/>
  <c r="V15"/>
  <c r="V15" i="17" s="1"/>
  <c r="U14" i="16"/>
  <c r="R11"/>
  <c r="O8"/>
  <c r="N7"/>
  <c r="S12"/>
  <c r="Q10"/>
  <c r="W16"/>
  <c r="T13"/>
  <c r="P9"/>
  <c r="N63" i="8"/>
  <c r="N95"/>
  <c r="G73"/>
  <c r="C21" i="5"/>
  <c r="M12" i="12"/>
  <c r="J41" i="8"/>
  <c r="J155" s="1"/>
  <c r="J156" s="1"/>
  <c r="M20" i="12"/>
  <c r="J43" i="8"/>
  <c r="L60"/>
  <c r="L92"/>
  <c r="U24" i="9"/>
  <c r="R58" i="8"/>
  <c r="W16" i="15"/>
  <c r="S12"/>
  <c r="V15"/>
  <c r="T13"/>
  <c r="U14"/>
  <c r="O6"/>
  <c r="H121" i="8"/>
  <c r="H73"/>
  <c r="P8" i="12"/>
  <c r="M40" i="8"/>
  <c r="P16" i="12"/>
  <c r="M42" i="8"/>
  <c r="M48" s="1"/>
  <c r="P24" i="12"/>
  <c r="M44" i="8"/>
  <c r="M50" s="1"/>
  <c r="P8" i="13"/>
  <c r="M6" i="8"/>
  <c r="C39" i="6"/>
  <c r="D19"/>
  <c r="C38" s="1"/>
  <c r="C22" i="20"/>
  <c r="H97" i="8"/>
  <c r="D20" i="6" l="1"/>
  <c r="D38" s="1"/>
  <c r="U76" i="23"/>
  <c r="V75"/>
  <c r="U38"/>
  <c r="V37"/>
  <c r="Q91" i="8"/>
  <c r="E107" s="1"/>
  <c r="Q36"/>
  <c r="U36" i="11"/>
  <c r="R27" i="8"/>
  <c r="V4" i="23"/>
  <c r="U5"/>
  <c r="K120" i="8"/>
  <c r="K62"/>
  <c r="K65" s="1"/>
  <c r="K72" s="1"/>
  <c r="K94"/>
  <c r="C38" i="2"/>
  <c r="B52" i="4"/>
  <c r="C21" i="2" s="1"/>
  <c r="O16" i="9"/>
  <c r="L56" i="8"/>
  <c r="C72" i="4"/>
  <c r="K13" i="8"/>
  <c r="D20" i="7"/>
  <c r="E38" s="1"/>
  <c r="I51" i="8"/>
  <c r="I71" s="1"/>
  <c r="C78" s="1"/>
  <c r="O20" i="13"/>
  <c r="L9" i="8"/>
  <c r="L15" s="1"/>
  <c r="N8"/>
  <c r="N14" s="1"/>
  <c r="Q16" i="13"/>
  <c r="O12"/>
  <c r="L7" i="8"/>
  <c r="L153" s="1"/>
  <c r="R61"/>
  <c r="R93"/>
  <c r="V12" i="9"/>
  <c r="S55" i="8"/>
  <c r="C40" i="2"/>
  <c r="M84" i="8"/>
  <c r="M12"/>
  <c r="M46"/>
  <c r="W15" i="15"/>
  <c r="V14"/>
  <c r="T12"/>
  <c r="U13"/>
  <c r="P6"/>
  <c r="R64" i="8"/>
  <c r="R96"/>
  <c r="N20" i="12"/>
  <c r="K43" i="8"/>
  <c r="N12" i="12"/>
  <c r="K41" i="8"/>
  <c r="K155" s="1"/>
  <c r="K156" s="1"/>
  <c r="T13" i="17"/>
  <c r="N28" i="16"/>
  <c r="E21" i="7"/>
  <c r="F39" s="1"/>
  <c r="B22"/>
  <c r="S8" i="11"/>
  <c r="P20" i="8"/>
  <c r="P16" i="11"/>
  <c r="M22" i="8"/>
  <c r="P24" i="11"/>
  <c r="M24" i="8"/>
  <c r="M33" s="1"/>
  <c r="S32" i="11"/>
  <c r="P26" i="8"/>
  <c r="B22" i="6"/>
  <c r="E21"/>
  <c r="E39" s="1"/>
  <c r="M92" i="8"/>
  <c r="D108" s="1"/>
  <c r="M60"/>
  <c r="O63"/>
  <c r="O95"/>
  <c r="C124"/>
  <c r="I121"/>
  <c r="N24" i="13"/>
  <c r="K10" i="8"/>
  <c r="E22" i="5"/>
  <c r="E39" s="1"/>
  <c r="B23"/>
  <c r="D22" i="20"/>
  <c r="Q8" i="13"/>
  <c r="N6" i="8"/>
  <c r="Q24" i="12"/>
  <c r="N44" i="8"/>
  <c r="N50" s="1"/>
  <c r="Q16" i="12"/>
  <c r="N42" i="8"/>
  <c r="N48" s="1"/>
  <c r="Q8" i="12"/>
  <c r="N40" i="8"/>
  <c r="C80"/>
  <c r="C31" i="4" s="1"/>
  <c r="V24" i="9"/>
  <c r="S58" i="8"/>
  <c r="J49"/>
  <c r="J87"/>
  <c r="J47"/>
  <c r="J51" s="1"/>
  <c r="J71" s="1"/>
  <c r="J85"/>
  <c r="J119"/>
  <c r="W16" i="17"/>
  <c r="S12"/>
  <c r="U14"/>
  <c r="U13" i="16"/>
  <c r="T12"/>
  <c r="T12" i="17" s="1"/>
  <c r="R10" i="16"/>
  <c r="Q9"/>
  <c r="W15"/>
  <c r="W15" i="17" s="1"/>
  <c r="P6" i="16"/>
  <c r="P8"/>
  <c r="V14"/>
  <c r="V14" i="17" s="1"/>
  <c r="S11" i="16"/>
  <c r="O7"/>
  <c r="O29" i="8"/>
  <c r="L31"/>
  <c r="L37" s="1"/>
  <c r="L70" s="1"/>
  <c r="L86"/>
  <c r="L118"/>
  <c r="O35"/>
  <c r="O90"/>
  <c r="C20" i="6"/>
  <c r="C21" s="1"/>
  <c r="Q8" i="9"/>
  <c r="N54" i="8"/>
  <c r="C101"/>
  <c r="C138" s="1"/>
  <c r="C144" s="1"/>
  <c r="C146" s="1"/>
  <c r="I97"/>
  <c r="S20" i="9"/>
  <c r="P57" i="8"/>
  <c r="E25" i="20"/>
  <c r="G39" s="1"/>
  <c r="B26"/>
  <c r="I73" i="8"/>
  <c r="J16"/>
  <c r="J17" s="1"/>
  <c r="J69" s="1"/>
  <c r="J88"/>
  <c r="J117"/>
  <c r="D21" i="5"/>
  <c r="D38" s="1"/>
  <c r="C73" i="4"/>
  <c r="C77" l="1"/>
  <c r="D30" i="2" s="1"/>
  <c r="V76" i="23"/>
  <c r="W75"/>
  <c r="V38"/>
  <c r="W37"/>
  <c r="R91" i="8"/>
  <c r="R36"/>
  <c r="S27"/>
  <c r="V36" i="11"/>
  <c r="W4" i="23"/>
  <c r="X3" s="1"/>
  <c r="V5"/>
  <c r="M163" i="8"/>
  <c r="M165" s="1"/>
  <c r="M166" s="1"/>
  <c r="L94"/>
  <c r="L62"/>
  <c r="L65" s="1"/>
  <c r="L72" s="1"/>
  <c r="L120"/>
  <c r="M56"/>
  <c r="P16" i="9"/>
  <c r="C135" i="8"/>
  <c r="C21" i="7"/>
  <c r="D21" s="1"/>
  <c r="F38" s="1"/>
  <c r="L13" i="8"/>
  <c r="C22" i="5"/>
  <c r="P20" i="13"/>
  <c r="M9" i="8"/>
  <c r="M15" s="1"/>
  <c r="O8"/>
  <c r="O14" s="1"/>
  <c r="R16" i="13"/>
  <c r="M7" i="8"/>
  <c r="M153" s="1"/>
  <c r="P12" i="13"/>
  <c r="S93" i="8"/>
  <c r="S61"/>
  <c r="W12" i="9"/>
  <c r="U55" i="8" s="1"/>
  <c r="U61" s="1"/>
  <c r="T55"/>
  <c r="J121"/>
  <c r="J73"/>
  <c r="B27" i="20"/>
  <c r="E26"/>
  <c r="H39" s="1"/>
  <c r="T20" i="9"/>
  <c r="Q57" i="8"/>
  <c r="N92"/>
  <c r="N60"/>
  <c r="O28" i="16"/>
  <c r="W14"/>
  <c r="W14" i="17" s="1"/>
  <c r="T11" i="16"/>
  <c r="Q8"/>
  <c r="P7"/>
  <c r="V13"/>
  <c r="R9"/>
  <c r="Q6"/>
  <c r="U12"/>
  <c r="S10"/>
  <c r="W24" i="9"/>
  <c r="U58" i="8" s="1"/>
  <c r="U64" s="1"/>
  <c r="T58"/>
  <c r="N46"/>
  <c r="N12"/>
  <c r="N84"/>
  <c r="D38" i="20"/>
  <c r="E23" i="5"/>
  <c r="F39" s="1"/>
  <c r="B24"/>
  <c r="K16" i="8"/>
  <c r="K17" s="1"/>
  <c r="K69" s="1"/>
  <c r="K88"/>
  <c r="K117"/>
  <c r="D21" i="6"/>
  <c r="E38" s="1"/>
  <c r="P35" i="8"/>
  <c r="P90"/>
  <c r="M31"/>
  <c r="M37" s="1"/>
  <c r="M70" s="1"/>
  <c r="D77" s="1"/>
  <c r="M86"/>
  <c r="D102" s="1"/>
  <c r="M118"/>
  <c r="D125" s="1"/>
  <c r="P29"/>
  <c r="O12" i="12"/>
  <c r="L41" i="8"/>
  <c r="L155" s="1"/>
  <c r="L156" s="1"/>
  <c r="O20" i="12"/>
  <c r="L43" i="8"/>
  <c r="V13" i="15"/>
  <c r="W14"/>
  <c r="U12"/>
  <c r="Q6"/>
  <c r="D100" i="8"/>
  <c r="D69" i="4"/>
  <c r="P63" i="8"/>
  <c r="P95"/>
  <c r="C22" i="7"/>
  <c r="C113" i="8"/>
  <c r="D33" i="22" s="1"/>
  <c r="R8" i="9"/>
  <c r="O54" i="8"/>
  <c r="U13" i="17"/>
  <c r="J97" i="8"/>
  <c r="S64"/>
  <c r="S96"/>
  <c r="D12" i="2"/>
  <c r="C33" i="4"/>
  <c r="O40" i="8"/>
  <c r="R8" i="12"/>
  <c r="O42" i="8"/>
  <c r="O48" s="1"/>
  <c r="R16" i="12"/>
  <c r="O44" i="8"/>
  <c r="O50" s="1"/>
  <c r="R24" i="12"/>
  <c r="R8" i="13"/>
  <c r="O6" i="8"/>
  <c r="C23" i="20"/>
  <c r="D22" i="5"/>
  <c r="E38" s="1"/>
  <c r="O24" i="13"/>
  <c r="L10" i="8"/>
  <c r="C128"/>
  <c r="E22" i="6"/>
  <c r="F39" s="1"/>
  <c r="B23"/>
  <c r="T32" i="11"/>
  <c r="Q26" i="8"/>
  <c r="Q24" i="11"/>
  <c r="N24" i="8"/>
  <c r="N33" s="1"/>
  <c r="Q16" i="11"/>
  <c r="N22" i="8"/>
  <c r="N163" s="1"/>
  <c r="N165" s="1"/>
  <c r="N166" s="1"/>
  <c r="T8" i="11"/>
  <c r="Q20" i="8"/>
  <c r="E22" i="7"/>
  <c r="G39" s="1"/>
  <c r="B23"/>
  <c r="K47" i="8"/>
  <c r="K85"/>
  <c r="K119"/>
  <c r="K49"/>
  <c r="K87"/>
  <c r="D132" l="1"/>
  <c r="X9" i="23"/>
  <c r="X19" i="13" s="1"/>
  <c r="X10" i="23"/>
  <c r="X23" i="13" s="1"/>
  <c r="W76" i="23"/>
  <c r="X74"/>
  <c r="X75" s="1"/>
  <c r="X36"/>
  <c r="W38"/>
  <c r="X37"/>
  <c r="X7"/>
  <c r="X11" i="13" s="1"/>
  <c r="X6" i="23"/>
  <c r="X7" i="13" s="1"/>
  <c r="X8" i="23"/>
  <c r="X15" i="13" s="1"/>
  <c r="U93" i="8"/>
  <c r="F109" s="1"/>
  <c r="T27"/>
  <c r="W36" i="11"/>
  <c r="S91" i="8"/>
  <c r="S36"/>
  <c r="X4" i="23"/>
  <c r="Y3" s="1"/>
  <c r="W5"/>
  <c r="C123" i="4"/>
  <c r="C127" s="1"/>
  <c r="D36" i="2" s="1"/>
  <c r="C117" i="4"/>
  <c r="C121" s="1"/>
  <c r="D35" i="2" s="1"/>
  <c r="M94" i="8"/>
  <c r="D110" s="1"/>
  <c r="D139" s="1"/>
  <c r="D145" s="1"/>
  <c r="M62"/>
  <c r="M65" s="1"/>
  <c r="M72" s="1"/>
  <c r="D79" s="1"/>
  <c r="M120"/>
  <c r="D134" s="1"/>
  <c r="N56"/>
  <c r="Q16" i="9"/>
  <c r="M13" i="8"/>
  <c r="N9"/>
  <c r="N15" s="1"/>
  <c r="Q20" i="13"/>
  <c r="S16"/>
  <c r="P8" i="8"/>
  <c r="P14" s="1"/>
  <c r="Q12" i="13"/>
  <c r="N7" i="8"/>
  <c r="N153" s="1"/>
  <c r="T93"/>
  <c r="T61"/>
  <c r="K97"/>
  <c r="E23" i="7"/>
  <c r="H39" s="1"/>
  <c r="B24"/>
  <c r="Q29" i="8"/>
  <c r="N31"/>
  <c r="N37" s="1"/>
  <c r="N70" s="1"/>
  <c r="N86"/>
  <c r="N118"/>
  <c r="Q90"/>
  <c r="E106" s="1"/>
  <c r="Q35"/>
  <c r="B24" i="6"/>
  <c r="E23"/>
  <c r="G39" s="1"/>
  <c r="P24" i="13"/>
  <c r="M10" i="8"/>
  <c r="D23" i="20"/>
  <c r="E38" s="1"/>
  <c r="S8" i="13"/>
  <c r="P6" i="8"/>
  <c r="O46"/>
  <c r="C111" i="4"/>
  <c r="C115" s="1"/>
  <c r="D34" i="2" s="1"/>
  <c r="C59" i="4"/>
  <c r="D24" i="2" s="1"/>
  <c r="C137" i="4"/>
  <c r="O60" i="8"/>
  <c r="O92"/>
  <c r="P20" i="12"/>
  <c r="M43" i="8"/>
  <c r="P12" i="12"/>
  <c r="M41" i="8"/>
  <c r="M155" s="1"/>
  <c r="M156" s="1"/>
  <c r="D67" i="4" s="1"/>
  <c r="W13" i="16"/>
  <c r="R6"/>
  <c r="V12"/>
  <c r="T10"/>
  <c r="S9"/>
  <c r="U11"/>
  <c r="Q7"/>
  <c r="R8"/>
  <c r="V13" i="17"/>
  <c r="R57" i="8"/>
  <c r="U20" i="9"/>
  <c r="K51" i="8"/>
  <c r="K71" s="1"/>
  <c r="K73" s="1"/>
  <c r="D22" i="7"/>
  <c r="G38" s="1"/>
  <c r="U8" i="11"/>
  <c r="R20" i="8"/>
  <c r="R16" i="11"/>
  <c r="O22" i="8"/>
  <c r="R24" i="11"/>
  <c r="O24" i="8"/>
  <c r="O33" s="1"/>
  <c r="U32" i="11"/>
  <c r="R26" i="8"/>
  <c r="L16"/>
  <c r="L17" s="1"/>
  <c r="L69" s="1"/>
  <c r="L88"/>
  <c r="L117"/>
  <c r="O12"/>
  <c r="O84"/>
  <c r="S24" i="12"/>
  <c r="P44" i="8"/>
  <c r="P50" s="1"/>
  <c r="S16" i="12"/>
  <c r="P42" i="8"/>
  <c r="P48" s="1"/>
  <c r="S8" i="12"/>
  <c r="P40" i="8"/>
  <c r="P54"/>
  <c r="S8" i="9"/>
  <c r="R6" i="15"/>
  <c r="V12"/>
  <c r="W13"/>
  <c r="L49" i="8"/>
  <c r="L87"/>
  <c r="L47"/>
  <c r="L85"/>
  <c r="L97" s="1"/>
  <c r="L119"/>
  <c r="C23" i="5"/>
  <c r="D44" i="4"/>
  <c r="K121" i="8"/>
  <c r="B25" i="5"/>
  <c r="E24"/>
  <c r="G39" s="1"/>
  <c r="T64" i="8"/>
  <c r="T96"/>
  <c r="U12" i="17"/>
  <c r="P28" i="16"/>
  <c r="D71" i="4"/>
  <c r="C22" i="6"/>
  <c r="Q95" i="8"/>
  <c r="E111" s="1"/>
  <c r="Q63"/>
  <c r="E27" i="20"/>
  <c r="I39" s="1"/>
  <c r="B28"/>
  <c r="Y10" i="23" l="1"/>
  <c r="Y23" i="13" s="1"/>
  <c r="Y9" i="23"/>
  <c r="Y19" i="13" s="1"/>
  <c r="Y74" i="23"/>
  <c r="X76"/>
  <c r="Y75"/>
  <c r="X81"/>
  <c r="X23" i="9" s="1"/>
  <c r="X24" s="1"/>
  <c r="V58" i="8" s="1"/>
  <c r="X79" i="23"/>
  <c r="X15" i="9" s="1"/>
  <c r="X77" i="23"/>
  <c r="X7" i="9" s="1"/>
  <c r="X80" i="23"/>
  <c r="X19" i="9" s="1"/>
  <c r="X78" i="23"/>
  <c r="X11" i="9" s="1"/>
  <c r="X12" s="1"/>
  <c r="V55" i="8" s="1"/>
  <c r="X46" i="23"/>
  <c r="X35" i="11" s="1"/>
  <c r="X36" s="1"/>
  <c r="V27" i="8" s="1"/>
  <c r="X44" i="23"/>
  <c r="X27" i="11" s="1"/>
  <c r="X28" s="1"/>
  <c r="V25" i="8" s="1"/>
  <c r="X42" i="23"/>
  <c r="X19" i="11" s="1"/>
  <c r="X20" s="1"/>
  <c r="V23" i="8" s="1"/>
  <c r="V32" s="1"/>
  <c r="X45" i="23"/>
  <c r="X31" i="11" s="1"/>
  <c r="X43" i="23"/>
  <c r="X23" i="11" s="1"/>
  <c r="X41" i="23"/>
  <c r="X15" i="11" s="1"/>
  <c r="X39" i="23"/>
  <c r="X7" i="11" s="1"/>
  <c r="X40" i="23"/>
  <c r="X11" i="11" s="1"/>
  <c r="X12" s="1"/>
  <c r="V21" i="8" s="1"/>
  <c r="V30" s="1"/>
  <c r="Y7" i="23"/>
  <c r="Y11" i="13" s="1"/>
  <c r="Y6" i="23"/>
  <c r="Y7" i="13" s="1"/>
  <c r="Y8" i="23"/>
  <c r="Y15" i="13" s="1"/>
  <c r="X38" i="23"/>
  <c r="Y36"/>
  <c r="H20" i="21"/>
  <c r="U27" i="8"/>
  <c r="T36"/>
  <c r="T91"/>
  <c r="Y4" i="23"/>
  <c r="Z3" s="1"/>
  <c r="X5"/>
  <c r="O163" i="8"/>
  <c r="O165" s="1"/>
  <c r="O166" s="1"/>
  <c r="N120"/>
  <c r="N94"/>
  <c r="N62"/>
  <c r="N65" s="1"/>
  <c r="N72" s="1"/>
  <c r="D38" i="2"/>
  <c r="D40" s="1"/>
  <c r="C52" i="4"/>
  <c r="D21" i="2" s="1"/>
  <c r="O56" i="8"/>
  <c r="R16" i="9"/>
  <c r="D127" i="8"/>
  <c r="D46" i="4" s="1"/>
  <c r="C24" i="20"/>
  <c r="N13" i="8"/>
  <c r="C23" i="7"/>
  <c r="D23" s="1"/>
  <c r="H38" s="1"/>
  <c r="L51" i="8"/>
  <c r="L71" s="1"/>
  <c r="O9"/>
  <c r="O15" s="1"/>
  <c r="R20" i="13"/>
  <c r="T16"/>
  <c r="Q8" i="8"/>
  <c r="Q14" s="1"/>
  <c r="R12" i="13"/>
  <c r="O7" i="8"/>
  <c r="O153" s="1"/>
  <c r="D22" i="6"/>
  <c r="F38" s="1"/>
  <c r="B26" i="5"/>
  <c r="E25"/>
  <c r="H39" s="1"/>
  <c r="D23"/>
  <c r="F38" s="1"/>
  <c r="T8" i="9"/>
  <c r="Q54" i="8"/>
  <c r="T8" i="12"/>
  <c r="Q40" i="8"/>
  <c r="T16" i="12"/>
  <c r="Q42" i="8"/>
  <c r="Q48" s="1"/>
  <c r="T24" i="12"/>
  <c r="Q44" i="8"/>
  <c r="Q50" s="1"/>
  <c r="L121"/>
  <c r="L73"/>
  <c r="V32" i="11"/>
  <c r="S26" i="8"/>
  <c r="S24" i="11"/>
  <c r="P24" i="8"/>
  <c r="P33" s="1"/>
  <c r="S16" i="11"/>
  <c r="P22" i="8"/>
  <c r="P163" s="1"/>
  <c r="P165" s="1"/>
  <c r="P166" s="1"/>
  <c r="V8" i="11"/>
  <c r="S20" i="8"/>
  <c r="R95"/>
  <c r="R63"/>
  <c r="Q28" i="16"/>
  <c r="V12" i="17"/>
  <c r="W13"/>
  <c r="U96" i="8"/>
  <c r="F112" s="1"/>
  <c r="Q12" i="12"/>
  <c r="N41" i="8"/>
  <c r="N155" s="1"/>
  <c r="N156" s="1"/>
  <c r="Q20" i="12"/>
  <c r="N43" i="8"/>
  <c r="Q6"/>
  <c r="T8" i="13"/>
  <c r="D24" i="20"/>
  <c r="F38" s="1"/>
  <c r="Q24" i="13"/>
  <c r="N10" i="8"/>
  <c r="E24" i="6"/>
  <c r="H39" s="1"/>
  <c r="B25"/>
  <c r="E24" i="7"/>
  <c r="I39" s="1"/>
  <c r="B25"/>
  <c r="E28" i="20"/>
  <c r="J39" s="1"/>
  <c r="B29"/>
  <c r="W12" i="15"/>
  <c r="S6"/>
  <c r="P60" i="8"/>
  <c r="P92"/>
  <c r="P46"/>
  <c r="R35"/>
  <c r="R90"/>
  <c r="O31"/>
  <c r="O37" s="1"/>
  <c r="O70" s="1"/>
  <c r="O86"/>
  <c r="O118"/>
  <c r="R29"/>
  <c r="V20" i="9"/>
  <c r="S57" i="8"/>
  <c r="S6" i="16"/>
  <c r="V11"/>
  <c r="S8"/>
  <c r="R7"/>
  <c r="W12"/>
  <c r="W12" i="17" s="1"/>
  <c r="U10" i="16"/>
  <c r="T9"/>
  <c r="M47" i="8"/>
  <c r="M119"/>
  <c r="D126" s="1"/>
  <c r="M85"/>
  <c r="D70" i="4" s="1"/>
  <c r="M49" i="8"/>
  <c r="M87"/>
  <c r="D103" s="1"/>
  <c r="P12"/>
  <c r="P84"/>
  <c r="M88"/>
  <c r="D104" s="1"/>
  <c r="M16"/>
  <c r="M17" s="1"/>
  <c r="M69" s="1"/>
  <c r="D76" s="1"/>
  <c r="M117"/>
  <c r="D131" s="1"/>
  <c r="D133" l="1"/>
  <c r="V36"/>
  <c r="V91"/>
  <c r="G107" s="1"/>
  <c r="V34"/>
  <c r="V89"/>
  <c r="G105" s="1"/>
  <c r="V93"/>
  <c r="G109" s="1"/>
  <c r="V61"/>
  <c r="V64"/>
  <c r="V96"/>
  <c r="G112" s="1"/>
  <c r="Z9" i="23"/>
  <c r="Z19" i="13" s="1"/>
  <c r="Z10" i="23"/>
  <c r="Z23" i="13" s="1"/>
  <c r="Y76" i="23"/>
  <c r="Z74"/>
  <c r="Z75" s="1"/>
  <c r="Y80"/>
  <c r="Y19" i="9" s="1"/>
  <c r="Y78" i="23"/>
  <c r="Y11" i="9" s="1"/>
  <c r="Y12" s="1"/>
  <c r="W55" i="8" s="1"/>
  <c r="Y81" i="23"/>
  <c r="Y23" i="9" s="1"/>
  <c r="Y24" s="1"/>
  <c r="W58" i="8" s="1"/>
  <c r="Y79" i="23"/>
  <c r="Y15" i="9" s="1"/>
  <c r="Y77" i="23"/>
  <c r="Y7" i="9" s="1"/>
  <c r="Y37" i="23"/>
  <c r="Y45"/>
  <c r="Y31" i="11" s="1"/>
  <c r="Y43" i="23"/>
  <c r="Y23" i="11" s="1"/>
  <c r="Y46" i="23"/>
  <c r="Y35" i="11" s="1"/>
  <c r="Y36" s="1"/>
  <c r="W27" i="8" s="1"/>
  <c r="Y44" i="23"/>
  <c r="Y27" i="11" s="1"/>
  <c r="Y28" s="1"/>
  <c r="W25" i="8" s="1"/>
  <c r="Y42" i="23"/>
  <c r="Y19" i="11" s="1"/>
  <c r="Y20" s="1"/>
  <c r="W23" i="8" s="1"/>
  <c r="W32" s="1"/>
  <c r="Y40" i="23"/>
  <c r="Y11" i="11" s="1"/>
  <c r="Y12" s="1"/>
  <c r="W21" i="8" s="1"/>
  <c r="W30" s="1"/>
  <c r="Y41" i="23"/>
  <c r="Y15" i="11" s="1"/>
  <c r="Y39" i="23"/>
  <c r="Y7" i="11" s="1"/>
  <c r="Z7" i="23"/>
  <c r="Z11" i="13" s="1"/>
  <c r="Z8" i="23"/>
  <c r="Z15" i="13" s="1"/>
  <c r="Z36" i="23"/>
  <c r="Y38"/>
  <c r="Z37"/>
  <c r="Z6"/>
  <c r="Z7" i="13" s="1"/>
  <c r="I20" i="21"/>
  <c r="M20"/>
  <c r="U36" i="8"/>
  <c r="U91"/>
  <c r="F107" s="1"/>
  <c r="Z4" i="23"/>
  <c r="AA3" s="1"/>
  <c r="Y5"/>
  <c r="O120" i="8"/>
  <c r="O62"/>
  <c r="O65" s="1"/>
  <c r="O72" s="1"/>
  <c r="O94"/>
  <c r="S16" i="9"/>
  <c r="P56" i="8"/>
  <c r="O13"/>
  <c r="C24" i="5"/>
  <c r="P9" i="8"/>
  <c r="P15" s="1"/>
  <c r="S20" i="13"/>
  <c r="U16"/>
  <c r="R8" i="8"/>
  <c r="R14" s="1"/>
  <c r="S12" i="13"/>
  <c r="P7" i="8"/>
  <c r="P153" s="1"/>
  <c r="D72" i="4"/>
  <c r="D124" i="8"/>
  <c r="M121"/>
  <c r="D45" i="4"/>
  <c r="T6" i="16"/>
  <c r="V10"/>
  <c r="U9"/>
  <c r="T8"/>
  <c r="W11"/>
  <c r="S7"/>
  <c r="S95" i="8"/>
  <c r="S63"/>
  <c r="T6" i="15"/>
  <c r="E29" i="20"/>
  <c r="K39" s="1"/>
  <c r="B30"/>
  <c r="E25" i="7"/>
  <c r="J39" s="1"/>
  <c r="B26"/>
  <c r="N16" i="8"/>
  <c r="N17" s="1"/>
  <c r="N69" s="1"/>
  <c r="N88"/>
  <c r="N117"/>
  <c r="U8" i="13"/>
  <c r="R6" i="8"/>
  <c r="N49"/>
  <c r="N87"/>
  <c r="N47"/>
  <c r="N51" s="1"/>
  <c r="N71" s="1"/>
  <c r="N119"/>
  <c r="N85"/>
  <c r="S29"/>
  <c r="P31"/>
  <c r="P37" s="1"/>
  <c r="P70" s="1"/>
  <c r="P86"/>
  <c r="P118"/>
  <c r="S35"/>
  <c r="S90"/>
  <c r="U24" i="12"/>
  <c r="R44" i="8"/>
  <c r="R50" s="1"/>
  <c r="U16" i="12"/>
  <c r="R42" i="8"/>
  <c r="R48" s="1"/>
  <c r="U8" i="12"/>
  <c r="R40" i="8"/>
  <c r="U8" i="9"/>
  <c r="R54" i="8"/>
  <c r="D24" i="5"/>
  <c r="G38" s="1"/>
  <c r="D73" i="4"/>
  <c r="D77" s="1"/>
  <c r="E30" i="2" s="1"/>
  <c r="D101" i="8"/>
  <c r="D138" s="1"/>
  <c r="D144" s="1"/>
  <c r="D146" s="1"/>
  <c r="M97"/>
  <c r="M51"/>
  <c r="M71" s="1"/>
  <c r="D78" s="1"/>
  <c r="R28" i="16"/>
  <c r="W20" i="9"/>
  <c r="U57" i="8" s="1"/>
  <c r="U63" s="1"/>
  <c r="T57"/>
  <c r="E25" i="6"/>
  <c r="I39" s="1"/>
  <c r="B26"/>
  <c r="R24" i="13"/>
  <c r="O10" i="8"/>
  <c r="C25" i="20"/>
  <c r="Q84" i="8"/>
  <c r="Q12"/>
  <c r="C24" i="7"/>
  <c r="R20" i="12"/>
  <c r="O43" i="8"/>
  <c r="R12" i="12"/>
  <c r="O41" i="8"/>
  <c r="O155" s="1"/>
  <c r="O156" s="1"/>
  <c r="W8" i="11"/>
  <c r="T20" i="8"/>
  <c r="T16" i="11"/>
  <c r="Q22" i="8"/>
  <c r="T24" i="11"/>
  <c r="Q24" i="8"/>
  <c r="Q33" s="1"/>
  <c r="W32" i="11"/>
  <c r="X32" s="1"/>
  <c r="T26" i="8"/>
  <c r="Q46"/>
  <c r="Q92"/>
  <c r="E108" s="1"/>
  <c r="Q60"/>
  <c r="E26" i="5"/>
  <c r="I39" s="1"/>
  <c r="B27"/>
  <c r="C23" i="6"/>
  <c r="W34" i="8" l="1"/>
  <c r="W89"/>
  <c r="H105" s="1"/>
  <c r="W93"/>
  <c r="H109" s="1"/>
  <c r="W61"/>
  <c r="Y32" i="11"/>
  <c r="W26" i="8" s="1"/>
  <c r="V26"/>
  <c r="W36"/>
  <c r="W91"/>
  <c r="H107" s="1"/>
  <c r="W96"/>
  <c r="H112" s="1"/>
  <c r="W64"/>
  <c r="AA10" i="23"/>
  <c r="AA23" i="13" s="1"/>
  <c r="AA9" i="23"/>
  <c r="AA19" i="13" s="1"/>
  <c r="AA74" i="23"/>
  <c r="Z76"/>
  <c r="AA75"/>
  <c r="Z81"/>
  <c r="Z23" i="9" s="1"/>
  <c r="Z24" s="1"/>
  <c r="X58" i="8" s="1"/>
  <c r="Z79" i="23"/>
  <c r="Z15" i="9" s="1"/>
  <c r="Z77" i="23"/>
  <c r="Z7" i="9" s="1"/>
  <c r="Z80" i="23"/>
  <c r="Z19" i="9" s="1"/>
  <c r="Z78" i="23"/>
  <c r="Z11" i="9" s="1"/>
  <c r="Z12" s="1"/>
  <c r="X55" i="8" s="1"/>
  <c r="Z46" i="23"/>
  <c r="Z35" i="11" s="1"/>
  <c r="Z36" s="1"/>
  <c r="X27" i="8" s="1"/>
  <c r="Z44" i="23"/>
  <c r="Z27" i="11" s="1"/>
  <c r="Z28" s="1"/>
  <c r="X25" i="8" s="1"/>
  <c r="Z42" i="23"/>
  <c r="Z19" i="11" s="1"/>
  <c r="Z20" s="1"/>
  <c r="X23" i="8" s="1"/>
  <c r="X32" s="1"/>
  <c r="Z45" i="23"/>
  <c r="Z31" i="11" s="1"/>
  <c r="Z32" s="1"/>
  <c r="X26" i="8" s="1"/>
  <c r="Z43" i="23"/>
  <c r="Z23" i="11" s="1"/>
  <c r="Z41" i="23"/>
  <c r="Z15" i="11" s="1"/>
  <c r="Z39" i="23"/>
  <c r="Z7" i="11" s="1"/>
  <c r="Z40" i="23"/>
  <c r="Z11" i="11" s="1"/>
  <c r="Z12" s="1"/>
  <c r="X21" i="8" s="1"/>
  <c r="X30" s="1"/>
  <c r="AA7" i="23"/>
  <c r="AA11" i="13" s="1"/>
  <c r="AA8" i="23"/>
  <c r="AA15" i="13" s="1"/>
  <c r="Z38" i="23"/>
  <c r="AA36"/>
  <c r="AA6"/>
  <c r="AA7" i="13" s="1"/>
  <c r="X20" i="9"/>
  <c r="X8" i="11"/>
  <c r="AA4" i="23"/>
  <c r="AB3" s="1"/>
  <c r="Z5"/>
  <c r="Q163" i="8"/>
  <c r="Q165" s="1"/>
  <c r="Q166" s="1"/>
  <c r="T16" i="9"/>
  <c r="Q56" i="8"/>
  <c r="P120"/>
  <c r="P62"/>
  <c r="P65" s="1"/>
  <c r="P72" s="1"/>
  <c r="P94"/>
  <c r="P13"/>
  <c r="C25" i="5"/>
  <c r="Q9" i="8"/>
  <c r="Q15" s="1"/>
  <c r="T20" i="13"/>
  <c r="V16"/>
  <c r="S8" i="8"/>
  <c r="S14" s="1"/>
  <c r="T12" i="13"/>
  <c r="Q7" i="8"/>
  <c r="T35"/>
  <c r="T90"/>
  <c r="Q31"/>
  <c r="Q37" s="1"/>
  <c r="Q70" s="1"/>
  <c r="E77" s="1"/>
  <c r="Q86"/>
  <c r="E102" s="1"/>
  <c r="Q118"/>
  <c r="E125" s="1"/>
  <c r="E44" i="4" s="1"/>
  <c r="T29" i="8"/>
  <c r="O47"/>
  <c r="O85"/>
  <c r="O119"/>
  <c r="O49"/>
  <c r="O87"/>
  <c r="D24" i="7"/>
  <c r="I38" s="1"/>
  <c r="D25" i="20"/>
  <c r="G38" s="1"/>
  <c r="S24" i="13"/>
  <c r="P10" i="8"/>
  <c r="T63"/>
  <c r="T95"/>
  <c r="D113"/>
  <c r="E33" i="22" s="1"/>
  <c r="D25" i="5"/>
  <c r="H38" s="1"/>
  <c r="V8" i="9"/>
  <c r="S54" i="8"/>
  <c r="V8" i="12"/>
  <c r="S40" i="8"/>
  <c r="V16" i="12"/>
  <c r="S42" i="8"/>
  <c r="S48" s="1"/>
  <c r="V24" i="12"/>
  <c r="S44" i="8"/>
  <c r="S50" s="1"/>
  <c r="N97"/>
  <c r="V8" i="13"/>
  <c r="S6" i="8"/>
  <c r="E30" i="20"/>
  <c r="E31" s="1"/>
  <c r="U6" i="15"/>
  <c r="U8" i="16"/>
  <c r="T7"/>
  <c r="V9"/>
  <c r="W10"/>
  <c r="U6"/>
  <c r="D128" i="8"/>
  <c r="D19" i="19" s="1"/>
  <c r="D43" i="4"/>
  <c r="E17" i="2" s="1"/>
  <c r="D23" i="6"/>
  <c r="G38" s="1"/>
  <c r="E27" i="5"/>
  <c r="J39" s="1"/>
  <c r="B28"/>
  <c r="H19" i="21"/>
  <c r="U26" i="8"/>
  <c r="U24" i="11"/>
  <c r="R24" i="8"/>
  <c r="R33" s="1"/>
  <c r="U16" i="11"/>
  <c r="R22" i="8"/>
  <c r="R163" s="1"/>
  <c r="R165" s="1"/>
  <c r="R166" s="1"/>
  <c r="H13" i="21"/>
  <c r="U20" i="8"/>
  <c r="S12" i="12"/>
  <c r="P41" i="8"/>
  <c r="P155" s="1"/>
  <c r="P156" s="1"/>
  <c r="S20" i="12"/>
  <c r="P43" i="8"/>
  <c r="E100"/>
  <c r="O16"/>
  <c r="O17" s="1"/>
  <c r="O69" s="1"/>
  <c r="O88"/>
  <c r="O117"/>
  <c r="O121" s="1"/>
  <c r="B27" i="6"/>
  <c r="E26"/>
  <c r="J39" s="1"/>
  <c r="E69" i="4"/>
  <c r="M73" i="8"/>
  <c r="R60"/>
  <c r="R92"/>
  <c r="R46"/>
  <c r="D135"/>
  <c r="D80"/>
  <c r="D31" i="4" s="1"/>
  <c r="E71"/>
  <c r="R12" i="8"/>
  <c r="R84"/>
  <c r="N121"/>
  <c r="N73"/>
  <c r="E26" i="7"/>
  <c r="K39" s="1"/>
  <c r="B27"/>
  <c r="S28" i="16"/>
  <c r="D32" i="19" l="1"/>
  <c r="D30"/>
  <c r="D31"/>
  <c r="D29"/>
  <c r="E132" i="8"/>
  <c r="Y20" i="9"/>
  <c r="V57" i="8"/>
  <c r="X35"/>
  <c r="X90"/>
  <c r="I106" s="1"/>
  <c r="X34"/>
  <c r="X89"/>
  <c r="I105" s="1"/>
  <c r="X93"/>
  <c r="I109" s="1"/>
  <c r="X61"/>
  <c r="X64"/>
  <c r="X96"/>
  <c r="I112" s="1"/>
  <c r="V35"/>
  <c r="V90"/>
  <c r="G106" s="1"/>
  <c r="Y8" i="11"/>
  <c r="V20" i="8"/>
  <c r="X36"/>
  <c r="X91"/>
  <c r="I107" s="1"/>
  <c r="W35"/>
  <c r="W90"/>
  <c r="H106" s="1"/>
  <c r="AB9" i="23"/>
  <c r="AB19" i="13" s="1"/>
  <c r="AB10" i="23"/>
  <c r="AB23" i="13" s="1"/>
  <c r="AA76" i="23"/>
  <c r="AB74"/>
  <c r="AB75" s="1"/>
  <c r="AB76" s="1"/>
  <c r="AA80"/>
  <c r="AA19" i="9" s="1"/>
  <c r="AA78" i="23"/>
  <c r="AA11" i="9" s="1"/>
  <c r="AA12" s="1"/>
  <c r="Y55" i="8" s="1"/>
  <c r="AA81" i="23"/>
  <c r="AA23" i="9" s="1"/>
  <c r="AA24" s="1"/>
  <c r="Y58" i="8" s="1"/>
  <c r="AA79" i="23"/>
  <c r="AA15" i="9" s="1"/>
  <c r="AA77" i="23"/>
  <c r="AA7" i="9" s="1"/>
  <c r="AA45" i="23"/>
  <c r="AA31" i="11" s="1"/>
  <c r="AA32" s="1"/>
  <c r="Y26" i="8" s="1"/>
  <c r="AA43" i="23"/>
  <c r="AA23" i="11" s="1"/>
  <c r="AA46" i="23"/>
  <c r="AA35" i="11" s="1"/>
  <c r="AA36" s="1"/>
  <c r="Y27" i="8" s="1"/>
  <c r="AA44" i="23"/>
  <c r="AA27" i="11" s="1"/>
  <c r="AA28" s="1"/>
  <c r="Y25" i="8" s="1"/>
  <c r="AA42" i="23"/>
  <c r="AA19" i="11" s="1"/>
  <c r="AA20" s="1"/>
  <c r="Y23" i="8" s="1"/>
  <c r="Y32" s="1"/>
  <c r="AA37" i="23"/>
  <c r="AA38" s="1"/>
  <c r="AA40"/>
  <c r="AA11" i="11" s="1"/>
  <c r="AA12" s="1"/>
  <c r="Y21" i="8" s="1"/>
  <c r="Y30" s="1"/>
  <c r="AA39" i="23"/>
  <c r="AA7" i="11" s="1"/>
  <c r="AA41" i="23"/>
  <c r="AA15" i="11" s="1"/>
  <c r="AB36" i="23"/>
  <c r="AB7"/>
  <c r="AB11" i="13" s="1"/>
  <c r="AB8" i="23"/>
  <c r="AB15" i="13" s="1"/>
  <c r="AB6" i="23"/>
  <c r="AB7" i="13" s="1"/>
  <c r="Q13" i="8"/>
  <c r="Q153"/>
  <c r="Q155" s="1"/>
  <c r="Q156" s="1"/>
  <c r="E67" i="4" s="1"/>
  <c r="AB4" i="23"/>
  <c r="AA5"/>
  <c r="Q62" i="8"/>
  <c r="Q65" s="1"/>
  <c r="Q72" s="1"/>
  <c r="E79" s="1"/>
  <c r="Q94"/>
  <c r="E110" s="1"/>
  <c r="E139" s="1"/>
  <c r="E145" s="1"/>
  <c r="Q120"/>
  <c r="E134" s="1"/>
  <c r="D123" i="4"/>
  <c r="D127" s="1"/>
  <c r="E36" i="2" s="1"/>
  <c r="D117" i="4"/>
  <c r="D121" s="1"/>
  <c r="E35" i="2" s="1"/>
  <c r="R56" i="8"/>
  <c r="U16" i="9"/>
  <c r="C26" i="20"/>
  <c r="D26" s="1"/>
  <c r="H38" s="1"/>
  <c r="C25" i="7"/>
  <c r="C24" i="6"/>
  <c r="D24" s="1"/>
  <c r="C26" i="5"/>
  <c r="R9" i="8"/>
  <c r="R15" s="1"/>
  <c r="U20" i="13"/>
  <c r="T8" i="8"/>
  <c r="T14" s="1"/>
  <c r="W16" i="13"/>
  <c r="X16" s="1"/>
  <c r="V8" i="8" s="1"/>
  <c r="U12" i="13"/>
  <c r="R7" i="8"/>
  <c r="E27" i="6"/>
  <c r="K39" s="1"/>
  <c r="B28"/>
  <c r="Q43" i="8"/>
  <c r="T20" i="12"/>
  <c r="Q41" i="8"/>
  <c r="T12" i="12"/>
  <c r="M13" i="21"/>
  <c r="I13"/>
  <c r="V16" i="11"/>
  <c r="S22" i="8"/>
  <c r="V24" i="11"/>
  <c r="S24" i="8"/>
  <c r="S33" s="1"/>
  <c r="T28" i="16"/>
  <c r="V6" i="15"/>
  <c r="S12" i="8"/>
  <c r="S84"/>
  <c r="W24" i="12"/>
  <c r="T44" i="8"/>
  <c r="T50" s="1"/>
  <c r="W16" i="12"/>
  <c r="T42" i="8"/>
  <c r="T48" s="1"/>
  <c r="W8" i="12"/>
  <c r="T40" i="8"/>
  <c r="W8" i="9"/>
  <c r="U54" i="8" s="1"/>
  <c r="U60" s="1"/>
  <c r="T54"/>
  <c r="D26" i="5"/>
  <c r="I38" s="1"/>
  <c r="Q10" i="8"/>
  <c r="T24" i="13"/>
  <c r="D25" i="7"/>
  <c r="J38" s="1"/>
  <c r="O97" i="8"/>
  <c r="E27" i="7"/>
  <c r="B28"/>
  <c r="E12" i="2"/>
  <c r="D33" i="4"/>
  <c r="U95" i="8"/>
  <c r="F111" s="1"/>
  <c r="P49"/>
  <c r="P87"/>
  <c r="P47"/>
  <c r="P51" s="1"/>
  <c r="P71" s="1"/>
  <c r="P85"/>
  <c r="P119"/>
  <c r="U29"/>
  <c r="R31"/>
  <c r="R37" s="1"/>
  <c r="R70" s="1"/>
  <c r="R86"/>
  <c r="R118"/>
  <c r="U90"/>
  <c r="F106" s="1"/>
  <c r="U35"/>
  <c r="M19" i="21"/>
  <c r="I19"/>
  <c r="B29" i="5"/>
  <c r="E28"/>
  <c r="K39" s="1"/>
  <c r="W9" i="16"/>
  <c r="V6"/>
  <c r="U7"/>
  <c r="V8"/>
  <c r="W8" i="13"/>
  <c r="X8" s="1"/>
  <c r="V6" i="8" s="1"/>
  <c r="T6"/>
  <c r="S46"/>
  <c r="S60"/>
  <c r="S92"/>
  <c r="P16"/>
  <c r="P17" s="1"/>
  <c r="P69" s="1"/>
  <c r="P88"/>
  <c r="P117"/>
  <c r="O51"/>
  <c r="O71" s="1"/>
  <c r="H38" i="6" l="1"/>
  <c r="C25"/>
  <c r="C27" i="20"/>
  <c r="V84" i="8"/>
  <c r="V12"/>
  <c r="V14"/>
  <c r="Y34"/>
  <c r="Y89"/>
  <c r="J105" s="1"/>
  <c r="Y96"/>
  <c r="J112" s="1"/>
  <c r="Y64"/>
  <c r="V29"/>
  <c r="V95"/>
  <c r="G111" s="1"/>
  <c r="V63"/>
  <c r="Y36"/>
  <c r="Y91"/>
  <c r="J107" s="1"/>
  <c r="Y35"/>
  <c r="Y90"/>
  <c r="J106" s="1"/>
  <c r="Y93"/>
  <c r="J109" s="1"/>
  <c r="Y61"/>
  <c r="Z8" i="11"/>
  <c r="X20" i="8" s="1"/>
  <c r="W20"/>
  <c r="Z20" i="9"/>
  <c r="X57" i="8" s="1"/>
  <c r="W57"/>
  <c r="AB81" i="23"/>
  <c r="AB23" i="9" s="1"/>
  <c r="AB24" s="1"/>
  <c r="Z58" i="8" s="1"/>
  <c r="AB79" i="23"/>
  <c r="AB15" i="9" s="1"/>
  <c r="AB77" i="23"/>
  <c r="AB7" i="9" s="1"/>
  <c r="AB80" i="23"/>
  <c r="AB19" i="9" s="1"/>
  <c r="AB78" i="23"/>
  <c r="AB11" i="9" s="1"/>
  <c r="AB12" s="1"/>
  <c r="Z55" i="8" s="1"/>
  <c r="AB37" i="23"/>
  <c r="AB38" s="1"/>
  <c r="AB46"/>
  <c r="AB35" i="11" s="1"/>
  <c r="AB36" s="1"/>
  <c r="Z27" i="8" s="1"/>
  <c r="AB44" i="23"/>
  <c r="AB27" i="11" s="1"/>
  <c r="AB28" s="1"/>
  <c r="Z25" i="8" s="1"/>
  <c r="AB42" i="23"/>
  <c r="AB19" i="11" s="1"/>
  <c r="AB20" s="1"/>
  <c r="Z23" i="8" s="1"/>
  <c r="Z32" s="1"/>
  <c r="AB45" i="23"/>
  <c r="AB31" i="11" s="1"/>
  <c r="AB32" s="1"/>
  <c r="Z26" i="8" s="1"/>
  <c r="AB43" i="23"/>
  <c r="AB23" i="11" s="1"/>
  <c r="AB41" i="23"/>
  <c r="AB15" i="11" s="1"/>
  <c r="AB39" i="23"/>
  <c r="AB7" i="11" s="1"/>
  <c r="AB40" i="23"/>
  <c r="AB11" i="11" s="1"/>
  <c r="AB12" s="1"/>
  <c r="Z21" i="8" s="1"/>
  <c r="Z30" s="1"/>
  <c r="X8" i="9"/>
  <c r="Y8" i="13"/>
  <c r="W6" i="8" s="1"/>
  <c r="R13"/>
  <c r="R153"/>
  <c r="R155" s="1"/>
  <c r="R156" s="1"/>
  <c r="Y16" i="13"/>
  <c r="W8" i="8" s="1"/>
  <c r="AB5" i="23"/>
  <c r="S163" i="8"/>
  <c r="S165" s="1"/>
  <c r="S166" s="1"/>
  <c r="V16" i="9"/>
  <c r="S56" i="8"/>
  <c r="R62"/>
  <c r="R65" s="1"/>
  <c r="R72" s="1"/>
  <c r="R94"/>
  <c r="R120"/>
  <c r="E127"/>
  <c r="E46" i="4" s="1"/>
  <c r="C26" i="7"/>
  <c r="S9" i="8"/>
  <c r="S15" s="1"/>
  <c r="V20" i="13"/>
  <c r="U8" i="8"/>
  <c r="U14" s="1"/>
  <c r="H8" i="21"/>
  <c r="V12" i="13"/>
  <c r="S7" i="8"/>
  <c r="P121"/>
  <c r="P73"/>
  <c r="T12"/>
  <c r="T84"/>
  <c r="W8" i="16"/>
  <c r="V7"/>
  <c r="W6"/>
  <c r="W7" s="1"/>
  <c r="E28" i="7"/>
  <c r="B29"/>
  <c r="D26"/>
  <c r="K38" s="1"/>
  <c r="D27" i="20"/>
  <c r="I38" s="1"/>
  <c r="T60" i="8"/>
  <c r="T92"/>
  <c r="T46"/>
  <c r="W6" i="15"/>
  <c r="D25" i="6"/>
  <c r="I38" s="1"/>
  <c r="W24" i="11"/>
  <c r="T24" i="8"/>
  <c r="T33" s="1"/>
  <c r="W16" i="11"/>
  <c r="T22" i="8"/>
  <c r="T163" s="1"/>
  <c r="T165" s="1"/>
  <c r="T166" s="1"/>
  <c r="Q47"/>
  <c r="Q85"/>
  <c r="E70" i="4" s="1"/>
  <c r="Q119" i="8"/>
  <c r="E126" s="1"/>
  <c r="E45" i="4" s="1"/>
  <c r="Q49" i="8"/>
  <c r="Q87"/>
  <c r="E103" s="1"/>
  <c r="B29" i="6"/>
  <c r="E28"/>
  <c r="U6" i="8"/>
  <c r="H6" i="21"/>
  <c r="U28" i="16"/>
  <c r="B30" i="5"/>
  <c r="E29"/>
  <c r="P97" i="8"/>
  <c r="O73"/>
  <c r="D111" i="4"/>
  <c r="D115" s="1"/>
  <c r="E34" i="2" s="1"/>
  <c r="D59" i="4"/>
  <c r="E24" i="2" s="1"/>
  <c r="D137" i="4"/>
  <c r="U24" i="13"/>
  <c r="R10" i="8"/>
  <c r="Q88"/>
  <c r="E104" s="1"/>
  <c r="Q16"/>
  <c r="Q17" s="1"/>
  <c r="Q69" s="1"/>
  <c r="Q117"/>
  <c r="E131" s="1"/>
  <c r="C27" i="5"/>
  <c r="W26" i="9"/>
  <c r="H23" i="21"/>
  <c r="H25"/>
  <c r="H27"/>
  <c r="S31" i="8"/>
  <c r="S37" s="1"/>
  <c r="S70" s="1"/>
  <c r="S86"/>
  <c r="S118"/>
  <c r="U12" i="12"/>
  <c r="R41" i="8"/>
  <c r="U20" i="12"/>
  <c r="R43" i="8"/>
  <c r="E133" l="1"/>
  <c r="W14"/>
  <c r="Y8" i="9"/>
  <c r="V54" i="8"/>
  <c r="Z91"/>
  <c r="K107" s="1"/>
  <c r="Z36"/>
  <c r="Z93"/>
  <c r="K109" s="1"/>
  <c r="Z61"/>
  <c r="Z64"/>
  <c r="Z96"/>
  <c r="K112" s="1"/>
  <c r="X95"/>
  <c r="I111" s="1"/>
  <c r="X63"/>
  <c r="W29"/>
  <c r="AA20" i="9"/>
  <c r="Y57" i="8" s="1"/>
  <c r="W12"/>
  <c r="W84"/>
  <c r="Z90"/>
  <c r="K106" s="1"/>
  <c r="Z35"/>
  <c r="Z89"/>
  <c r="K105" s="1"/>
  <c r="Z34"/>
  <c r="W95"/>
  <c r="H111" s="1"/>
  <c r="W63"/>
  <c r="X29"/>
  <c r="AA8" i="11"/>
  <c r="Y20" i="8" s="1"/>
  <c r="G100"/>
  <c r="X16" i="11"/>
  <c r="X24"/>
  <c r="Z16" i="13"/>
  <c r="X8" i="8" s="1"/>
  <c r="S13"/>
  <c r="S153"/>
  <c r="S155" s="1"/>
  <c r="S156" s="1"/>
  <c r="Z8" i="13"/>
  <c r="X6" i="8" s="1"/>
  <c r="E38" i="2"/>
  <c r="D52" i="4"/>
  <c r="E21" i="2" s="1"/>
  <c r="S120" i="8"/>
  <c r="S62"/>
  <c r="S65" s="1"/>
  <c r="S72" s="1"/>
  <c r="S94"/>
  <c r="T56"/>
  <c r="W16" i="9"/>
  <c r="Q51" i="8"/>
  <c r="Q71" s="1"/>
  <c r="E78" s="1"/>
  <c r="T9"/>
  <c r="T15" s="1"/>
  <c r="W20" i="13"/>
  <c r="X20" s="1"/>
  <c r="V9" i="8" s="1"/>
  <c r="I8" i="21"/>
  <c r="M8"/>
  <c r="W12" i="13"/>
  <c r="X12" s="1"/>
  <c r="V7" i="8" s="1"/>
  <c r="T7"/>
  <c r="V20" i="12"/>
  <c r="S43" i="8"/>
  <c r="V12" i="12"/>
  <c r="S41" i="8"/>
  <c r="M27" i="21"/>
  <c r="I27"/>
  <c r="M25"/>
  <c r="I25"/>
  <c r="D27" i="5"/>
  <c r="J38" s="1"/>
  <c r="R16" i="8"/>
  <c r="R17" s="1"/>
  <c r="R69" s="1"/>
  <c r="R88"/>
  <c r="R117"/>
  <c r="E30" i="5"/>
  <c r="E31" s="1"/>
  <c r="M6" i="21"/>
  <c r="I6"/>
  <c r="T31" i="8"/>
  <c r="T37" s="1"/>
  <c r="T70" s="1"/>
  <c r="T86"/>
  <c r="T118"/>
  <c r="W28" i="16"/>
  <c r="E76" i="8"/>
  <c r="R49"/>
  <c r="R87"/>
  <c r="R47"/>
  <c r="R51" s="1"/>
  <c r="R71" s="1"/>
  <c r="R85"/>
  <c r="R119"/>
  <c r="M23" i="21"/>
  <c r="I23"/>
  <c r="U92" i="8"/>
  <c r="F108" s="1"/>
  <c r="E124"/>
  <c r="Q121"/>
  <c r="V24" i="13"/>
  <c r="S10" i="8"/>
  <c r="E40" i="2"/>
  <c r="E72" i="4"/>
  <c r="U84" i="8"/>
  <c r="U12"/>
  <c r="E29" i="6"/>
  <c r="B30"/>
  <c r="E101" i="8"/>
  <c r="E138" s="1"/>
  <c r="E144" s="1"/>
  <c r="E146" s="1"/>
  <c r="Q97"/>
  <c r="H15" i="21"/>
  <c r="U22" i="8"/>
  <c r="H17" i="21"/>
  <c r="U24" i="8"/>
  <c r="U33" s="1"/>
  <c r="W38" i="11"/>
  <c r="C26" i="6"/>
  <c r="C28" i="20"/>
  <c r="C27" i="7"/>
  <c r="B30"/>
  <c r="E29"/>
  <c r="E135" i="8"/>
  <c r="V28" i="16"/>
  <c r="E73" i="4"/>
  <c r="AB20" i="9" l="1"/>
  <c r="Z57" i="8" s="1"/>
  <c r="V85"/>
  <c r="V13"/>
  <c r="V153"/>
  <c r="V155" s="1"/>
  <c r="X16" i="9"/>
  <c r="U56" i="8"/>
  <c r="U62" s="1"/>
  <c r="U65" s="1"/>
  <c r="X14"/>
  <c r="Y16" i="11"/>
  <c r="V22" i="8"/>
  <c r="H100"/>
  <c r="V92"/>
  <c r="G108" s="1"/>
  <c r="V60"/>
  <c r="V87"/>
  <c r="G103" s="1"/>
  <c r="V15"/>
  <c r="X12"/>
  <c r="X84"/>
  <c r="Y24" i="11"/>
  <c r="V24" i="8"/>
  <c r="V33" s="1"/>
  <c r="Y29"/>
  <c r="Z95"/>
  <c r="K111" s="1"/>
  <c r="Z63"/>
  <c r="Y63"/>
  <c r="Y95"/>
  <c r="J111" s="1"/>
  <c r="AB8" i="11"/>
  <c r="Z20" i="8" s="1"/>
  <c r="Z8" i="9"/>
  <c r="W54" i="8"/>
  <c r="T13"/>
  <c r="T153"/>
  <c r="T155" s="1"/>
  <c r="T156" s="1"/>
  <c r="Y20" i="13"/>
  <c r="W9" i="8" s="1"/>
  <c r="AA8" i="13"/>
  <c r="Y6" i="8" s="1"/>
  <c r="AA16" i="13"/>
  <c r="Y8" i="8" s="1"/>
  <c r="Y12" i="13"/>
  <c r="W7" i="8" s="1"/>
  <c r="U163"/>
  <c r="U165" s="1"/>
  <c r="U166" s="1"/>
  <c r="V163"/>
  <c r="E123" i="4"/>
  <c r="E127" s="1"/>
  <c r="F36" i="2" s="1"/>
  <c r="E117" i="4"/>
  <c r="W28" i="9"/>
  <c r="T94" i="8"/>
  <c r="T120"/>
  <c r="T62"/>
  <c r="T65" s="1"/>
  <c r="T72" s="1"/>
  <c r="Q73"/>
  <c r="E77" i="4"/>
  <c r="F30" i="2" s="1"/>
  <c r="U9" i="8"/>
  <c r="U15" s="1"/>
  <c r="H9" i="21"/>
  <c r="H7"/>
  <c r="U7" i="8"/>
  <c r="D27" i="7"/>
  <c r="C28" s="1"/>
  <c r="M17" i="21"/>
  <c r="I17"/>
  <c r="M15"/>
  <c r="I15"/>
  <c r="E113" i="8"/>
  <c r="F33" i="22" s="1"/>
  <c r="F100" i="8"/>
  <c r="F69" i="4"/>
  <c r="S16" i="8"/>
  <c r="S17" s="1"/>
  <c r="S69" s="1"/>
  <c r="S88"/>
  <c r="S117"/>
  <c r="R97"/>
  <c r="R121"/>
  <c r="R73"/>
  <c r="S47"/>
  <c r="S85"/>
  <c r="S119"/>
  <c r="S49"/>
  <c r="S87"/>
  <c r="E30" i="7"/>
  <c r="E31" s="1"/>
  <c r="D28" i="20"/>
  <c r="J38" s="1"/>
  <c r="D26" i="6"/>
  <c r="J38" s="1"/>
  <c r="U31" i="8"/>
  <c r="U37" s="1"/>
  <c r="U70" s="1"/>
  <c r="U86"/>
  <c r="F102" s="1"/>
  <c r="U118"/>
  <c r="F125" s="1"/>
  <c r="F44" i="4" s="1"/>
  <c r="E30" i="6"/>
  <c r="E31" s="1"/>
  <c r="W24" i="13"/>
  <c r="X24" s="1"/>
  <c r="V10" i="8" s="1"/>
  <c r="T10"/>
  <c r="E43" i="4"/>
  <c r="F17" i="2" s="1"/>
  <c r="E128" i="8"/>
  <c r="E19" i="19" s="1"/>
  <c r="E80" i="8"/>
  <c r="E31" i="4" s="1"/>
  <c r="C28" i="5"/>
  <c r="W12" i="12"/>
  <c r="T41" i="8"/>
  <c r="W20" i="12"/>
  <c r="T43" i="8"/>
  <c r="E32" i="19" l="1"/>
  <c r="E30"/>
  <c r="E31"/>
  <c r="E29"/>
  <c r="F132" i="8"/>
  <c r="C29" i="20"/>
  <c r="W13" i="8"/>
  <c r="W85"/>
  <c r="W153"/>
  <c r="W155" s="1"/>
  <c r="Y12"/>
  <c r="Y84"/>
  <c r="AA8" i="9"/>
  <c r="X54" i="8"/>
  <c r="Z24" i="11"/>
  <c r="W24" i="8"/>
  <c r="W33" s="1"/>
  <c r="V31"/>
  <c r="V37" s="1"/>
  <c r="V70" s="1"/>
  <c r="G77" s="1"/>
  <c r="V86"/>
  <c r="G102" s="1"/>
  <c r="V118"/>
  <c r="V16"/>
  <c r="V17" s="1"/>
  <c r="V69" s="1"/>
  <c r="V88"/>
  <c r="G104" s="1"/>
  <c r="Y14"/>
  <c r="W15"/>
  <c r="W87"/>
  <c r="H103" s="1"/>
  <c r="W92"/>
  <c r="H108" s="1"/>
  <c r="W60"/>
  <c r="Z29"/>
  <c r="I100"/>
  <c r="Z16" i="11"/>
  <c r="W22" i="8"/>
  <c r="Y16" i="9"/>
  <c r="V56" i="8"/>
  <c r="V117"/>
  <c r="G101"/>
  <c r="V165"/>
  <c r="V166" s="1"/>
  <c r="W30" i="9"/>
  <c r="V156" i="8"/>
  <c r="AB8" i="13"/>
  <c r="Z6" i="8" s="1"/>
  <c r="Y24" i="13"/>
  <c r="W10" i="8" s="1"/>
  <c r="W117" s="1"/>
  <c r="U13"/>
  <c r="U153"/>
  <c r="U155" s="1"/>
  <c r="U156" s="1"/>
  <c r="Z12" i="13"/>
  <c r="X7" i="8" s="1"/>
  <c r="AB16" i="13"/>
  <c r="Z8" i="8" s="1"/>
  <c r="Z20" i="13"/>
  <c r="X9" i="8" s="1"/>
  <c r="U72"/>
  <c r="F79" s="1"/>
  <c r="U120"/>
  <c r="F127" s="1"/>
  <c r="F46" i="4" s="1"/>
  <c r="U94" i="8"/>
  <c r="F110" s="1"/>
  <c r="S121"/>
  <c r="C27" i="6"/>
  <c r="D27" s="1"/>
  <c r="K38" s="1"/>
  <c r="I9" i="21"/>
  <c r="M9"/>
  <c r="M7"/>
  <c r="I7"/>
  <c r="S97" i="8"/>
  <c r="D28" i="7"/>
  <c r="C29" s="1"/>
  <c r="T49" i="8"/>
  <c r="T87"/>
  <c r="T47"/>
  <c r="T51" s="1"/>
  <c r="T71" s="1"/>
  <c r="T119"/>
  <c r="T85"/>
  <c r="E121" i="4"/>
  <c r="F35" i="2" s="1"/>
  <c r="F12"/>
  <c r="E33" i="4"/>
  <c r="T16" i="8"/>
  <c r="T17" s="1"/>
  <c r="T69" s="1"/>
  <c r="T88"/>
  <c r="T117"/>
  <c r="D29" i="20"/>
  <c r="K38" s="1"/>
  <c r="H26" i="21"/>
  <c r="H24"/>
  <c r="W26" i="12"/>
  <c r="D28" i="5"/>
  <c r="K38" s="1"/>
  <c r="F77" i="8"/>
  <c r="U10"/>
  <c r="H10" i="21"/>
  <c r="S51" i="8"/>
  <c r="S71" s="1"/>
  <c r="F71" i="4"/>
  <c r="F67" l="1"/>
  <c r="H131" i="8"/>
  <c r="H124"/>
  <c r="H43" i="4" s="1"/>
  <c r="G131" i="8"/>
  <c r="G132"/>
  <c r="G125"/>
  <c r="G44" i="4" s="1"/>
  <c r="G67"/>
  <c r="G77" s="1"/>
  <c r="H30" i="2" s="1"/>
  <c r="F134" i="8"/>
  <c r="F139"/>
  <c r="F145" s="1"/>
  <c r="G138"/>
  <c r="X15"/>
  <c r="X87"/>
  <c r="I103" s="1"/>
  <c r="X85"/>
  <c r="X13"/>
  <c r="X153"/>
  <c r="X155" s="1"/>
  <c r="Z12"/>
  <c r="Z84"/>
  <c r="V62"/>
  <c r="V65" s="1"/>
  <c r="V72" s="1"/>
  <c r="G79" s="1"/>
  <c r="V94"/>
  <c r="G110" s="1"/>
  <c r="V120"/>
  <c r="W31"/>
  <c r="W37" s="1"/>
  <c r="W70" s="1"/>
  <c r="H77" s="1"/>
  <c r="W118"/>
  <c r="W86"/>
  <c r="H102" s="1"/>
  <c r="W163"/>
  <c r="W165" s="1"/>
  <c r="W166" s="1"/>
  <c r="G76"/>
  <c r="V73"/>
  <c r="AA24" i="11"/>
  <c r="X24" i="8"/>
  <c r="X33" s="1"/>
  <c r="X60"/>
  <c r="X92"/>
  <c r="I108" s="1"/>
  <c r="J100"/>
  <c r="H101"/>
  <c r="Z14"/>
  <c r="W16"/>
  <c r="W17" s="1"/>
  <c r="W69" s="1"/>
  <c r="W88"/>
  <c r="H104" s="1"/>
  <c r="Z16" i="9"/>
  <c r="W56" i="8"/>
  <c r="AA16" i="11"/>
  <c r="X22" i="8"/>
  <c r="AB8" i="9"/>
  <c r="Z54" i="8" s="1"/>
  <c r="Y54"/>
  <c r="T121"/>
  <c r="AA20" i="13"/>
  <c r="Y9" i="8" s="1"/>
  <c r="W156"/>
  <c r="Z24" i="13"/>
  <c r="X10" i="8" s="1"/>
  <c r="AA12" i="13"/>
  <c r="Y7" i="8" s="1"/>
  <c r="C29" i="5"/>
  <c r="T73" i="8"/>
  <c r="T97"/>
  <c r="I10" i="21"/>
  <c r="M10"/>
  <c r="H11"/>
  <c r="I11" s="1"/>
  <c r="D29" i="5"/>
  <c r="C30" s="1"/>
  <c r="D30" s="1"/>
  <c r="D31" s="1"/>
  <c r="M24" i="21"/>
  <c r="I24"/>
  <c r="M26"/>
  <c r="I26"/>
  <c r="D29" i="7"/>
  <c r="C30" s="1"/>
  <c r="D30" s="1"/>
  <c r="D31" s="1"/>
  <c r="U88" i="8"/>
  <c r="F104" s="1"/>
  <c r="U16"/>
  <c r="U17" s="1"/>
  <c r="U69" s="1"/>
  <c r="U117"/>
  <c r="F124" s="1"/>
  <c r="U119"/>
  <c r="F133" s="1"/>
  <c r="U85"/>
  <c r="U87"/>
  <c r="F103" s="1"/>
  <c r="S73"/>
  <c r="C30" i="20"/>
  <c r="D30" s="1"/>
  <c r="D31" s="1"/>
  <c r="C28" i="6"/>
  <c r="E111" i="4"/>
  <c r="E115" s="1"/>
  <c r="F34" i="2" s="1"/>
  <c r="E137" i="4"/>
  <c r="E59"/>
  <c r="F24" i="2" s="1"/>
  <c r="V97" i="8" l="1"/>
  <c r="F126"/>
  <c r="F45" i="4" s="1"/>
  <c r="G126" i="8"/>
  <c r="G45" i="4" s="1"/>
  <c r="G124" i="8"/>
  <c r="G43" i="4" s="1"/>
  <c r="H125" i="8"/>
  <c r="H44" i="4" s="1"/>
  <c r="H132" i="8"/>
  <c r="G134"/>
  <c r="G127"/>
  <c r="G46" i="4" s="1"/>
  <c r="G144" i="8"/>
  <c r="H67" i="4"/>
  <c r="H77" s="1"/>
  <c r="I30" i="2" s="1"/>
  <c r="F131" i="8"/>
  <c r="H138"/>
  <c r="G113"/>
  <c r="H33" i="22" s="1"/>
  <c r="G139" i="8"/>
  <c r="H76"/>
  <c r="X16"/>
  <c r="X17" s="1"/>
  <c r="X69" s="1"/>
  <c r="X88"/>
  <c r="I104" s="1"/>
  <c r="Y15"/>
  <c r="Y87"/>
  <c r="J103" s="1"/>
  <c r="Z92"/>
  <c r="K108" s="1"/>
  <c r="Z60"/>
  <c r="AB16" i="11"/>
  <c r="Z22" i="8" s="1"/>
  <c r="Y22"/>
  <c r="AA16" i="9"/>
  <c r="X56" i="8"/>
  <c r="K100"/>
  <c r="X117"/>
  <c r="Y13"/>
  <c r="Y85"/>
  <c r="Y153"/>
  <c r="Y155" s="1"/>
  <c r="Y60"/>
  <c r="Y92"/>
  <c r="J108" s="1"/>
  <c r="X31"/>
  <c r="X37" s="1"/>
  <c r="X70" s="1"/>
  <c r="I77" s="1"/>
  <c r="X163"/>
  <c r="X165" s="1"/>
  <c r="X166" s="1"/>
  <c r="X118"/>
  <c r="X86"/>
  <c r="I102" s="1"/>
  <c r="W94"/>
  <c r="W62"/>
  <c r="W65" s="1"/>
  <c r="W72" s="1"/>
  <c r="H79" s="1"/>
  <c r="W120"/>
  <c r="V121"/>
  <c r="Y24"/>
  <c r="Y33" s="1"/>
  <c r="AB24" i="11"/>
  <c r="Z24" i="8" s="1"/>
  <c r="Z33" s="1"/>
  <c r="G80"/>
  <c r="G31" i="4" s="1"/>
  <c r="I101" i="8"/>
  <c r="U71"/>
  <c r="U73" s="1"/>
  <c r="F73" i="4"/>
  <c r="AB12" i="13"/>
  <c r="Z7" i="8" s="1"/>
  <c r="X156"/>
  <c r="AA24" i="13"/>
  <c r="Y10" i="8" s="1"/>
  <c r="AB20" i="13"/>
  <c r="Z9" i="8" s="1"/>
  <c r="F38" i="2"/>
  <c r="F40" s="1"/>
  <c r="E52" i="4"/>
  <c r="F21" i="2" s="1"/>
  <c r="F26" s="1"/>
  <c r="D28" i="6"/>
  <c r="C29" s="1"/>
  <c r="F101" i="8"/>
  <c r="F138" s="1"/>
  <c r="F144" s="1"/>
  <c r="F146" s="1"/>
  <c r="U97"/>
  <c r="F70" i="4"/>
  <c r="F76" i="8"/>
  <c r="U121"/>
  <c r="F135"/>
  <c r="F72" i="4"/>
  <c r="H17" i="2" l="1"/>
  <c r="H12"/>
  <c r="G33" i="4"/>
  <c r="W121" i="8"/>
  <c r="H127"/>
  <c r="H46" i="4" s="1"/>
  <c r="I17" i="2" s="1"/>
  <c r="H134" i="8"/>
  <c r="I132"/>
  <c r="I125"/>
  <c r="I44" i="4" s="1"/>
  <c r="I131" i="8"/>
  <c r="I124"/>
  <c r="I43" i="4" s="1"/>
  <c r="G145" i="8"/>
  <c r="H144"/>
  <c r="G146"/>
  <c r="G140"/>
  <c r="I67" i="4"/>
  <c r="I77" s="1"/>
  <c r="J30" i="2" s="1"/>
  <c r="F128" i="8"/>
  <c r="F19" i="19" s="1"/>
  <c r="I138" i="8"/>
  <c r="F78"/>
  <c r="F80" s="1"/>
  <c r="F31" i="4" s="1"/>
  <c r="Y16" i="8"/>
  <c r="Y88"/>
  <c r="J104" s="1"/>
  <c r="Z13"/>
  <c r="Z85"/>
  <c r="Z153"/>
  <c r="Z155" s="1"/>
  <c r="Z156" s="1"/>
  <c r="Y117"/>
  <c r="J101"/>
  <c r="I76"/>
  <c r="X62"/>
  <c r="X65" s="1"/>
  <c r="X72" s="1"/>
  <c r="I79" s="1"/>
  <c r="X94"/>
  <c r="X120"/>
  <c r="X121" s="1"/>
  <c r="Y31"/>
  <c r="Y37" s="1"/>
  <c r="Y70" s="1"/>
  <c r="J77" s="1"/>
  <c r="Y163"/>
  <c r="Y165" s="1"/>
  <c r="Y166" s="1"/>
  <c r="Y118"/>
  <c r="Y86"/>
  <c r="J102" s="1"/>
  <c r="W73"/>
  <c r="Z87"/>
  <c r="K103" s="1"/>
  <c r="Z15"/>
  <c r="H128"/>
  <c r="H19" i="19" s="1"/>
  <c r="H135" i="8"/>
  <c r="H110"/>
  <c r="H139" s="1"/>
  <c r="W97"/>
  <c r="Y17"/>
  <c r="Y69" s="1"/>
  <c r="AB16" i="9"/>
  <c r="Z56" i="8" s="1"/>
  <c r="Y56"/>
  <c r="Z31"/>
  <c r="Z37" s="1"/>
  <c r="Z70" s="1"/>
  <c r="K77" s="1"/>
  <c r="Z163"/>
  <c r="Z165" s="1"/>
  <c r="Z166" s="1"/>
  <c r="Z118"/>
  <c r="Z86"/>
  <c r="K102" s="1"/>
  <c r="H80"/>
  <c r="H31" i="4" s="1"/>
  <c r="G135" i="8"/>
  <c r="AB24" i="13"/>
  <c r="Z10" i="8" s="1"/>
  <c r="Y156"/>
  <c r="K67" i="4" s="1"/>
  <c r="K77" s="1"/>
  <c r="L30" i="2" s="1"/>
  <c r="F123" i="4"/>
  <c r="F127" s="1"/>
  <c r="G36" i="2" s="1"/>
  <c r="F117" i="4"/>
  <c r="F42" i="2"/>
  <c r="F9" i="22" s="1"/>
  <c r="F77" i="4"/>
  <c r="G30" i="2" s="1"/>
  <c r="F43" i="4"/>
  <c r="G17" i="2" s="1"/>
  <c r="G128" i="8"/>
  <c r="G19" i="19" s="1"/>
  <c r="F113" i="8"/>
  <c r="G33" i="22" s="1"/>
  <c r="D29" i="6"/>
  <c r="C30" s="1"/>
  <c r="D30" s="1"/>
  <c r="D31" s="1"/>
  <c r="H31" i="19" l="1"/>
  <c r="H29"/>
  <c r="H32"/>
  <c r="H30"/>
  <c r="G32"/>
  <c r="G30"/>
  <c r="G31"/>
  <c r="G29"/>
  <c r="F31"/>
  <c r="F29"/>
  <c r="F32"/>
  <c r="F30"/>
  <c r="J125" i="8"/>
  <c r="J44" i="4" s="1"/>
  <c r="J132" i="8"/>
  <c r="J124"/>
  <c r="J43" i="4" s="1"/>
  <c r="J131" i="8"/>
  <c r="I12" i="2"/>
  <c r="H33" i="4"/>
  <c r="K132" i="8"/>
  <c r="K125"/>
  <c r="K44" i="4" s="1"/>
  <c r="H145" i="8"/>
  <c r="I134"/>
  <c r="I127"/>
  <c r="I46" i="4" s="1"/>
  <c r="J17" i="2" s="1"/>
  <c r="I144" i="8"/>
  <c r="J67" i="4"/>
  <c r="J77" s="1"/>
  <c r="K30" i="2" s="1"/>
  <c r="H146" i="8"/>
  <c r="G137" i="4"/>
  <c r="G59"/>
  <c r="H24" i="2" s="1"/>
  <c r="G111" i="4"/>
  <c r="G115" s="1"/>
  <c r="H34" i="2" s="1"/>
  <c r="H117" i="4"/>
  <c r="H121" s="1"/>
  <c r="I35" i="2" s="1"/>
  <c r="H123" i="4"/>
  <c r="H127" s="1"/>
  <c r="I36" i="2" s="1"/>
  <c r="G117" i="4"/>
  <c r="G121" s="1"/>
  <c r="H35" i="2" s="1"/>
  <c r="G123" i="4"/>
  <c r="G127" s="1"/>
  <c r="H36" i="2" s="1"/>
  <c r="H140" i="8"/>
  <c r="J138"/>
  <c r="Z88"/>
  <c r="K104" s="1"/>
  <c r="Z16"/>
  <c r="Z17" s="1"/>
  <c r="Z69" s="1"/>
  <c r="Y94"/>
  <c r="J110" s="1"/>
  <c r="J139" s="1"/>
  <c r="Y62"/>
  <c r="Y65" s="1"/>
  <c r="Y72" s="1"/>
  <c r="J79" s="1"/>
  <c r="Y120"/>
  <c r="J76"/>
  <c r="H113"/>
  <c r="I33" i="22" s="1"/>
  <c r="I128" i="8"/>
  <c r="I19" i="19" s="1"/>
  <c r="I80" i="8"/>
  <c r="I31" i="4" s="1"/>
  <c r="J113" i="8"/>
  <c r="K33" i="22" s="1"/>
  <c r="I135" i="8"/>
  <c r="Z62"/>
  <c r="Z65" s="1"/>
  <c r="Z72" s="1"/>
  <c r="K79" s="1"/>
  <c r="Z94"/>
  <c r="K110" s="1"/>
  <c r="K139" s="1"/>
  <c r="Z120"/>
  <c r="I110"/>
  <c r="I139" s="1"/>
  <c r="X97"/>
  <c r="X73"/>
  <c r="Y97"/>
  <c r="Z117"/>
  <c r="K101"/>
  <c r="K138" s="1"/>
  <c r="F54" i="22"/>
  <c r="G12" i="2"/>
  <c r="F33" i="4"/>
  <c r="F121"/>
  <c r="G35" i="2" s="1"/>
  <c r="I32" i="19" l="1"/>
  <c r="I30"/>
  <c r="I31"/>
  <c r="I29"/>
  <c r="G36"/>
  <c r="G37" s="1"/>
  <c r="J30" i="1" s="1"/>
  <c r="J34" s="1"/>
  <c r="K131" i="8"/>
  <c r="K124"/>
  <c r="K43" i="4" s="1"/>
  <c r="I145" i="8"/>
  <c r="H38" i="2"/>
  <c r="H40" s="1"/>
  <c r="G52" i="4"/>
  <c r="H21" i="2" s="1"/>
  <c r="H26" s="1"/>
  <c r="H137" i="4"/>
  <c r="H59"/>
  <c r="I24" i="2" s="1"/>
  <c r="H111" i="4"/>
  <c r="H115" s="1"/>
  <c r="I34" i="2" s="1"/>
  <c r="K145" i="8"/>
  <c r="I33" i="4"/>
  <c r="J12" i="2"/>
  <c r="J144" i="8"/>
  <c r="K144"/>
  <c r="K146" s="1"/>
  <c r="K134"/>
  <c r="K127"/>
  <c r="K46" i="4" s="1"/>
  <c r="J127" i="8"/>
  <c r="J46" i="4" s="1"/>
  <c r="K17" i="2" s="1"/>
  <c r="J134" i="8"/>
  <c r="J135" s="1"/>
  <c r="J145"/>
  <c r="G40" i="19"/>
  <c r="I146" i="8"/>
  <c r="J117" i="4"/>
  <c r="J121" s="1"/>
  <c r="K35" i="2" s="1"/>
  <c r="J123" i="4"/>
  <c r="J127" s="1"/>
  <c r="K36" i="2" s="1"/>
  <c r="I117" i="4"/>
  <c r="I121" s="1"/>
  <c r="J35" i="2" s="1"/>
  <c r="I123" i="4"/>
  <c r="I127" s="1"/>
  <c r="J36" i="2" s="1"/>
  <c r="K140" i="8"/>
  <c r="Y73"/>
  <c r="I140"/>
  <c r="J140"/>
  <c r="J128"/>
  <c r="J19" i="19" s="1"/>
  <c r="Z97" i="8"/>
  <c r="Y121"/>
  <c r="K128"/>
  <c r="K19" i="19" s="1"/>
  <c r="Z121" i="8"/>
  <c r="I113"/>
  <c r="J33" i="22" s="1"/>
  <c r="K76" i="8"/>
  <c r="K80" s="1"/>
  <c r="K31" i="4" s="1"/>
  <c r="Z73" i="8"/>
  <c r="K113"/>
  <c r="L33" i="22" s="1"/>
  <c r="D28" i="19"/>
  <c r="D140" i="8"/>
  <c r="B140"/>
  <c r="J80"/>
  <c r="J31" i="4" s="1"/>
  <c r="F59"/>
  <c r="G24" i="2" s="1"/>
  <c r="F137" i="4"/>
  <c r="F111"/>
  <c r="F115" s="1"/>
  <c r="G34" i="2" s="1"/>
  <c r="F140" i="8"/>
  <c r="F28" i="19"/>
  <c r="B11" i="15"/>
  <c r="G47" i="22" l="1"/>
  <c r="F47"/>
  <c r="D47"/>
  <c r="E47"/>
  <c r="K32" i="19"/>
  <c r="K30"/>
  <c r="K31"/>
  <c r="K29"/>
  <c r="J31"/>
  <c r="J29"/>
  <c r="J32"/>
  <c r="J30"/>
  <c r="H22" i="22"/>
  <c r="H23" s="1"/>
  <c r="H25" s="1"/>
  <c r="H40" i="19"/>
  <c r="J146" i="8"/>
  <c r="I137" i="4"/>
  <c r="I111"/>
  <c r="I115" s="1"/>
  <c r="J34" i="2" s="1"/>
  <c r="I59" i="4"/>
  <c r="J24" i="2" s="1"/>
  <c r="H52" i="4"/>
  <c r="I21" i="2" s="1"/>
  <c r="I26" s="1"/>
  <c r="I38"/>
  <c r="I40" s="1"/>
  <c r="L17"/>
  <c r="K12"/>
  <c r="J33" i="4"/>
  <c r="L12" i="2"/>
  <c r="K33" i="4"/>
  <c r="H36" i="19"/>
  <c r="H37" s="1"/>
  <c r="K30" i="1" s="1"/>
  <c r="H42" i="2"/>
  <c r="H9" i="22" s="1"/>
  <c r="K135" i="8"/>
  <c r="E13" i="19"/>
  <c r="B10" i="15" s="1"/>
  <c r="L32" i="19"/>
  <c r="C140" i="8"/>
  <c r="M113"/>
  <c r="E140"/>
  <c r="L31" i="19"/>
  <c r="E28"/>
  <c r="L28" s="1"/>
  <c r="G38" i="2"/>
  <c r="F52" i="4"/>
  <c r="G21" i="2" s="1"/>
  <c r="G26" s="1"/>
  <c r="H11" i="15"/>
  <c r="J11"/>
  <c r="I11"/>
  <c r="K11"/>
  <c r="L11"/>
  <c r="M11"/>
  <c r="N11"/>
  <c r="O11"/>
  <c r="P11"/>
  <c r="Q11"/>
  <c r="R11"/>
  <c r="S11"/>
  <c r="T11"/>
  <c r="U11"/>
  <c r="V11"/>
  <c r="W11"/>
  <c r="G40" i="2"/>
  <c r="H55" i="22" l="1"/>
  <c r="K34" i="1"/>
  <c r="I22" i="22"/>
  <c r="J40" i="19"/>
  <c r="K40"/>
  <c r="I36"/>
  <c r="I37" s="1"/>
  <c r="L30" i="1" s="1"/>
  <c r="K137" i="4"/>
  <c r="K59"/>
  <c r="L24" i="2" s="1"/>
  <c r="K111" i="4"/>
  <c r="K115" s="1"/>
  <c r="L34" i="2" s="1"/>
  <c r="J137" i="4"/>
  <c r="J111"/>
  <c r="J115" s="1"/>
  <c r="K34" i="2" s="1"/>
  <c r="J59" i="4"/>
  <c r="K24" i="2" s="1"/>
  <c r="I42"/>
  <c r="I9" i="22" s="1"/>
  <c r="J38" i="2"/>
  <c r="J40" s="1"/>
  <c r="I52" i="4"/>
  <c r="J21" i="2" s="1"/>
  <c r="J26" s="1"/>
  <c r="H54" i="22"/>
  <c r="H56" s="1"/>
  <c r="K36" i="19"/>
  <c r="K37" s="1"/>
  <c r="N30" i="1" s="1"/>
  <c r="I40" i="19"/>
  <c r="J36"/>
  <c r="J37" s="1"/>
  <c r="M30" i="1" s="1"/>
  <c r="K117" i="4"/>
  <c r="K121" s="1"/>
  <c r="L35" i="2" s="1"/>
  <c r="K123" i="4"/>
  <c r="K127" s="1"/>
  <c r="L36" i="2" s="1"/>
  <c r="D40" i="19"/>
  <c r="L29"/>
  <c r="U10" i="15"/>
  <c r="U10" i="17" s="1"/>
  <c r="O10" i="15"/>
  <c r="O10" i="17" s="1"/>
  <c r="S10" i="15"/>
  <c r="S10" i="17" s="1"/>
  <c r="M10" i="15"/>
  <c r="M10" i="17" s="1"/>
  <c r="G10" i="15"/>
  <c r="N10"/>
  <c r="N10" i="17" s="1"/>
  <c r="V10" i="15"/>
  <c r="V10" i="17" s="1"/>
  <c r="L10" i="15"/>
  <c r="L10" i="17" s="1"/>
  <c r="T10" i="15"/>
  <c r="T10" i="17" s="1"/>
  <c r="W10" i="15"/>
  <c r="W10" i="17" s="1"/>
  <c r="K10" i="15"/>
  <c r="H10"/>
  <c r="Q10"/>
  <c r="Q10" i="17" s="1"/>
  <c r="J10" i="15"/>
  <c r="R10"/>
  <c r="R10" i="17" s="1"/>
  <c r="I10" i="15"/>
  <c r="P10"/>
  <c r="P10" i="17" s="1"/>
  <c r="L30" i="19"/>
  <c r="D36"/>
  <c r="F40"/>
  <c r="G42" i="2"/>
  <c r="G9" i="22" s="1"/>
  <c r="V11" i="17"/>
  <c r="T11"/>
  <c r="R11"/>
  <c r="P11"/>
  <c r="N11"/>
  <c r="F36" i="19"/>
  <c r="W11" i="17"/>
  <c r="U11"/>
  <c r="S11"/>
  <c r="Q11"/>
  <c r="O11"/>
  <c r="M11"/>
  <c r="N34" i="1" l="1"/>
  <c r="L22" i="22"/>
  <c r="M34" i="1"/>
  <c r="K22" i="22"/>
  <c r="L34" i="1"/>
  <c r="J22" i="22"/>
  <c r="K38" i="2"/>
  <c r="J52" i="4"/>
  <c r="K21" i="2" s="1"/>
  <c r="K26" s="1"/>
  <c r="J42"/>
  <c r="J9" i="22" s="1"/>
  <c r="I54"/>
  <c r="K40" i="2"/>
  <c r="L38"/>
  <c r="L40" s="1"/>
  <c r="K52" i="4"/>
  <c r="L21" i="2" s="1"/>
  <c r="L26" s="1"/>
  <c r="L19" i="19"/>
  <c r="B7" i="16"/>
  <c r="L24" i="19"/>
  <c r="L34"/>
  <c r="E40"/>
  <c r="E36"/>
  <c r="E37" s="1"/>
  <c r="H30" i="1" s="1"/>
  <c r="F22" i="22" s="1"/>
  <c r="B8" i="16"/>
  <c r="J45" i="19"/>
  <c r="M7" s="1"/>
  <c r="B9" i="16"/>
  <c r="D7"/>
  <c r="F7"/>
  <c r="G7"/>
  <c r="C7"/>
  <c r="E7"/>
  <c r="H7"/>
  <c r="G54" i="22"/>
  <c r="B11" i="16"/>
  <c r="F37" i="19"/>
  <c r="L42" i="2" l="1"/>
  <c r="J23" i="22"/>
  <c r="J25" s="1"/>
  <c r="J55"/>
  <c r="K23"/>
  <c r="K25" s="1"/>
  <c r="K55"/>
  <c r="L55"/>
  <c r="L23"/>
  <c r="L25" s="1"/>
  <c r="J54"/>
  <c r="J56" s="1"/>
  <c r="K42" i="2"/>
  <c r="K9" i="22" s="1"/>
  <c r="D41" i="19"/>
  <c r="E41" s="1"/>
  <c r="F41" s="1"/>
  <c r="G41" s="1"/>
  <c r="H41" s="1"/>
  <c r="I41" s="1"/>
  <c r="J41" s="1"/>
  <c r="K41" s="1"/>
  <c r="L40"/>
  <c r="L41"/>
  <c r="L36"/>
  <c r="L45"/>
  <c r="B10" i="16"/>
  <c r="B10" i="17" s="1"/>
  <c r="D28" i="16"/>
  <c r="D30" s="1"/>
  <c r="G9"/>
  <c r="J9"/>
  <c r="F9"/>
  <c r="H9"/>
  <c r="I9"/>
  <c r="H34" i="1"/>
  <c r="O7" i="19"/>
  <c r="C8" i="16"/>
  <c r="I10"/>
  <c r="I10" i="17" s="1"/>
  <c r="J10" i="16"/>
  <c r="J10" i="17" s="1"/>
  <c r="G8" i="16"/>
  <c r="F8"/>
  <c r="F28" s="1"/>
  <c r="I8"/>
  <c r="E8"/>
  <c r="E28" s="1"/>
  <c r="H8"/>
  <c r="H11"/>
  <c r="I11"/>
  <c r="J11"/>
  <c r="B11" i="17"/>
  <c r="K11" i="16"/>
  <c r="L11"/>
  <c r="I30" i="1"/>
  <c r="G22" i="22" s="1"/>
  <c r="L9" l="1"/>
  <c r="L54" s="1"/>
  <c r="L56" s="1"/>
  <c r="G10" i="16"/>
  <c r="G10" i="17" s="1"/>
  <c r="K54" i="22"/>
  <c r="K56" s="1"/>
  <c r="H10" i="16"/>
  <c r="H10" i="17" s="1"/>
  <c r="K10" i="16"/>
  <c r="K10" i="17" s="1"/>
  <c r="E30" i="16"/>
  <c r="F30" s="1"/>
  <c r="B7" i="15"/>
  <c r="G28" i="16"/>
  <c r="C9"/>
  <c r="D7" i="19"/>
  <c r="L7" s="1"/>
  <c r="F23" i="22"/>
  <c r="F25" s="1"/>
  <c r="F55"/>
  <c r="F56" s="1"/>
  <c r="I34" i="1"/>
  <c r="L11" i="17"/>
  <c r="L28" i="16"/>
  <c r="I11" i="17"/>
  <c r="I28" i="16"/>
  <c r="K11" i="17"/>
  <c r="J11"/>
  <c r="J28" i="16"/>
  <c r="H11" i="17"/>
  <c r="H28" i="16"/>
  <c r="K28" l="1"/>
  <c r="G30"/>
  <c r="H30" s="1"/>
  <c r="I30" s="1"/>
  <c r="J30" s="1"/>
  <c r="B21" i="4"/>
  <c r="E29" i="1"/>
  <c r="J47" i="19"/>
  <c r="B8" i="15"/>
  <c r="D46" i="19"/>
  <c r="D13"/>
  <c r="L13" s="1"/>
  <c r="C10" i="16"/>
  <c r="C7" i="15"/>
  <c r="F7"/>
  <c r="H7"/>
  <c r="J7"/>
  <c r="L7"/>
  <c r="N7"/>
  <c r="P7"/>
  <c r="R7"/>
  <c r="S7"/>
  <c r="U7"/>
  <c r="W7"/>
  <c r="D7"/>
  <c r="E7"/>
  <c r="G7"/>
  <c r="I7"/>
  <c r="K7"/>
  <c r="M7"/>
  <c r="O7"/>
  <c r="Q7"/>
  <c r="T7"/>
  <c r="V7"/>
  <c r="B7" i="17"/>
  <c r="G55" i="22"/>
  <c r="G56" s="1"/>
  <c r="G23"/>
  <c r="G25" s="1"/>
  <c r="K30" i="16" l="1"/>
  <c r="L30" s="1"/>
  <c r="M30" s="1"/>
  <c r="N30" s="1"/>
  <c r="O30" s="1"/>
  <c r="P30" s="1"/>
  <c r="Q30" s="1"/>
  <c r="R30" s="1"/>
  <c r="S30" s="1"/>
  <c r="T30" s="1"/>
  <c r="U30" s="1"/>
  <c r="V30" s="1"/>
  <c r="W30" s="1"/>
  <c r="V7" i="17"/>
  <c r="Q7"/>
  <c r="M7"/>
  <c r="I7"/>
  <c r="E7"/>
  <c r="W7"/>
  <c r="S7"/>
  <c r="P7"/>
  <c r="L7"/>
  <c r="H7"/>
  <c r="C8" i="15"/>
  <c r="C7" i="17"/>
  <c r="D47" i="19"/>
  <c r="L47" s="1"/>
  <c r="J46"/>
  <c r="L46" s="1"/>
  <c r="E8" i="15"/>
  <c r="E8" i="17" s="1"/>
  <c r="G8" i="15"/>
  <c r="G8" i="17" s="1"/>
  <c r="I8" i="15"/>
  <c r="I8" i="17" s="1"/>
  <c r="K8" i="15"/>
  <c r="K8" i="17" s="1"/>
  <c r="M8" i="15"/>
  <c r="M8" i="17" s="1"/>
  <c r="O8" i="15"/>
  <c r="O8" i="17" s="1"/>
  <c r="Q8" i="15"/>
  <c r="Q8" i="17" s="1"/>
  <c r="S8" i="15"/>
  <c r="S8" i="17" s="1"/>
  <c r="U8" i="15"/>
  <c r="U8" i="17" s="1"/>
  <c r="F8" i="15"/>
  <c r="F8" i="17" s="1"/>
  <c r="H8" i="15"/>
  <c r="H8" i="17" s="1"/>
  <c r="J8" i="15"/>
  <c r="J8" i="17" s="1"/>
  <c r="L8" i="15"/>
  <c r="L8" i="17" s="1"/>
  <c r="N8" i="15"/>
  <c r="N8" i="17" s="1"/>
  <c r="P8" i="15"/>
  <c r="P8" i="17" s="1"/>
  <c r="R8" i="15"/>
  <c r="R8" i="17" s="1"/>
  <c r="T8" i="15"/>
  <c r="T8" i="17" s="1"/>
  <c r="V8" i="15"/>
  <c r="V8" i="17" s="1"/>
  <c r="W8" i="15"/>
  <c r="W8" i="17" s="1"/>
  <c r="B8"/>
  <c r="E34" i="1"/>
  <c r="T7" i="17"/>
  <c r="O7"/>
  <c r="K7"/>
  <c r="G7"/>
  <c r="D28" i="15"/>
  <c r="D30" s="1"/>
  <c r="D7" i="17"/>
  <c r="D28" s="1"/>
  <c r="U7"/>
  <c r="R7"/>
  <c r="N7"/>
  <c r="J7"/>
  <c r="F7"/>
  <c r="C11" i="16"/>
  <c r="B9" i="15"/>
  <c r="D37" i="19"/>
  <c r="O29" i="1"/>
  <c r="Q29" s="1"/>
  <c r="F30" s="1"/>
  <c r="D22" i="22" s="1"/>
  <c r="C21" i="4"/>
  <c r="F40" i="1" s="1"/>
  <c r="E40"/>
  <c r="F29" l="1"/>
  <c r="F34" s="1"/>
  <c r="D19" i="2"/>
  <c r="F47" i="1"/>
  <c r="G30"/>
  <c r="E22" i="22" s="1"/>
  <c r="D21" i="4"/>
  <c r="L37" i="19"/>
  <c r="C12" i="16"/>
  <c r="C44" i="2"/>
  <c r="E14" i="1" s="1"/>
  <c r="D30" i="17"/>
  <c r="D23" i="3" s="1"/>
  <c r="E28" i="17"/>
  <c r="C19" i="2"/>
  <c r="E47" i="1"/>
  <c r="D55" i="22"/>
  <c r="D23"/>
  <c r="D25" s="1"/>
  <c r="D28" s="1"/>
  <c r="F9" i="15"/>
  <c r="H9"/>
  <c r="H9" i="17" s="1"/>
  <c r="H28" s="1"/>
  <c r="J9" i="15"/>
  <c r="L9"/>
  <c r="L9" i="17" s="1"/>
  <c r="L28" s="1"/>
  <c r="K44" i="2" s="1"/>
  <c r="N9" i="15"/>
  <c r="P9"/>
  <c r="P9" i="17" s="1"/>
  <c r="P28" s="1"/>
  <c r="R9" i="15"/>
  <c r="T9"/>
  <c r="V9"/>
  <c r="G9"/>
  <c r="I9"/>
  <c r="I9" i="17" s="1"/>
  <c r="K9" i="15"/>
  <c r="M9"/>
  <c r="M9" i="17" s="1"/>
  <c r="O9" i="15"/>
  <c r="Q9"/>
  <c r="Q9" i="17" s="1"/>
  <c r="S9" i="15"/>
  <c r="U9"/>
  <c r="W9"/>
  <c r="W9" i="17" s="1"/>
  <c r="W28" s="1"/>
  <c r="B9"/>
  <c r="P30" i="1"/>
  <c r="C9" i="15"/>
  <c r="C8" i="17"/>
  <c r="E28" i="15"/>
  <c r="E30" s="1"/>
  <c r="I28" i="17"/>
  <c r="H44" i="2" s="1"/>
  <c r="M28" i="17"/>
  <c r="L44" i="2" s="1"/>
  <c r="Q28" i="17"/>
  <c r="M14" i="1" l="1"/>
  <c r="K47" i="2"/>
  <c r="K53" s="1"/>
  <c r="K58" s="1"/>
  <c r="M11" i="1" s="1"/>
  <c r="M26" s="1"/>
  <c r="M49" s="1"/>
  <c r="J14"/>
  <c r="H47" i="2"/>
  <c r="H53" s="1"/>
  <c r="H58" s="1"/>
  <c r="J11" i="1" s="1"/>
  <c r="J26" s="1"/>
  <c r="J49" s="1"/>
  <c r="N14"/>
  <c r="L47" i="2"/>
  <c r="L53" s="1"/>
  <c r="L58" s="1"/>
  <c r="N11" i="1" s="1"/>
  <c r="N26" s="1"/>
  <c r="N49" s="1"/>
  <c r="H28" i="15"/>
  <c r="I28"/>
  <c r="Q28"/>
  <c r="G44" i="2"/>
  <c r="C10" i="15"/>
  <c r="C9" i="17"/>
  <c r="S9"/>
  <c r="S28" s="1"/>
  <c r="S28" i="15"/>
  <c r="O9" i="17"/>
  <c r="O28" s="1"/>
  <c r="O28" i="15"/>
  <c r="K9" i="17"/>
  <c r="K28" s="1"/>
  <c r="J44" i="2" s="1"/>
  <c r="K28" i="15"/>
  <c r="G9" i="17"/>
  <c r="G28" s="1"/>
  <c r="G28" i="15"/>
  <c r="T9" i="17"/>
  <c r="T28" s="1"/>
  <c r="T28" i="15"/>
  <c r="D26" i="22"/>
  <c r="D11" s="1"/>
  <c r="W28" i="15"/>
  <c r="L28"/>
  <c r="C13" i="16"/>
  <c r="G40" i="1"/>
  <c r="N21" i="4"/>
  <c r="I23" i="22"/>
  <c r="I25" s="1"/>
  <c r="I55"/>
  <c r="I56" s="1"/>
  <c r="U9" i="17"/>
  <c r="U28" s="1"/>
  <c r="U28" i="15"/>
  <c r="V9" i="17"/>
  <c r="V28" s="1"/>
  <c r="V28" i="15"/>
  <c r="R9" i="17"/>
  <c r="R28" s="1"/>
  <c r="R28" i="15"/>
  <c r="N9" i="17"/>
  <c r="N28" s="1"/>
  <c r="N28" i="15"/>
  <c r="J9" i="17"/>
  <c r="J28" s="1"/>
  <c r="I44" i="2" s="1"/>
  <c r="J28" i="15"/>
  <c r="F9" i="17"/>
  <c r="F28" s="1"/>
  <c r="F28" i="15"/>
  <c r="F30" s="1"/>
  <c r="E24" i="1"/>
  <c r="C26" i="2"/>
  <c r="C42" s="1"/>
  <c r="M28" i="15"/>
  <c r="D44" i="2"/>
  <c r="F14" i="1" s="1"/>
  <c r="E30" i="17"/>
  <c r="E23" i="3" s="1"/>
  <c r="P28" i="15"/>
  <c r="G34" i="1"/>
  <c r="F24"/>
  <c r="D26" i="2"/>
  <c r="D42" s="1"/>
  <c r="D9" i="22" s="1"/>
  <c r="K14" i="1" l="1"/>
  <c r="I47" i="2"/>
  <c r="I53" s="1"/>
  <c r="I58" s="1"/>
  <c r="K11" i="1" s="1"/>
  <c r="K26" s="1"/>
  <c r="K49" s="1"/>
  <c r="L14"/>
  <c r="J47" i="2"/>
  <c r="J53" s="1"/>
  <c r="J58" s="1"/>
  <c r="L11" i="1" s="1"/>
  <c r="L26" s="1"/>
  <c r="L49" s="1"/>
  <c r="D47" i="2"/>
  <c r="D53" s="1"/>
  <c r="D58" s="1"/>
  <c r="F11" i="1" s="1"/>
  <c r="F26" s="1"/>
  <c r="F49" s="1"/>
  <c r="E23" i="22"/>
  <c r="E25" s="1"/>
  <c r="E28" s="1"/>
  <c r="E55"/>
  <c r="C47" i="2"/>
  <c r="C53" s="1"/>
  <c r="C58" s="1"/>
  <c r="E11" i="1" s="1"/>
  <c r="E26" s="1"/>
  <c r="E49" s="1"/>
  <c r="E51" s="1"/>
  <c r="C9" i="22"/>
  <c r="C14" i="16"/>
  <c r="F44" i="2"/>
  <c r="G47"/>
  <c r="G53" s="1"/>
  <c r="G58" s="1"/>
  <c r="I11" i="1" s="1"/>
  <c r="I14"/>
  <c r="E44" i="2"/>
  <c r="G14" i="1" s="1"/>
  <c r="F30" i="17"/>
  <c r="F23" i="3" s="1"/>
  <c r="E19" i="2"/>
  <c r="G47" i="1"/>
  <c r="G30" i="15"/>
  <c r="H30" s="1"/>
  <c r="I30" s="1"/>
  <c r="J30" s="1"/>
  <c r="K30" s="1"/>
  <c r="L30" s="1"/>
  <c r="M30" s="1"/>
  <c r="N30" s="1"/>
  <c r="O30" s="1"/>
  <c r="P30" s="1"/>
  <c r="Q30" s="1"/>
  <c r="R30" s="1"/>
  <c r="S30" s="1"/>
  <c r="T30" s="1"/>
  <c r="U30" s="1"/>
  <c r="V30" s="1"/>
  <c r="W30" s="1"/>
  <c r="C11"/>
  <c r="C10" i="17"/>
  <c r="I26" i="1" l="1"/>
  <c r="I54" s="1"/>
  <c r="G24"/>
  <c r="E26" i="2"/>
  <c r="E42" s="1"/>
  <c r="E9" i="22" s="1"/>
  <c r="G30" i="17"/>
  <c r="C15" i="16"/>
  <c r="C54" i="22"/>
  <c r="C56" s="1"/>
  <c r="C13"/>
  <c r="C15" s="1"/>
  <c r="C12" i="15"/>
  <c r="C11" i="17"/>
  <c r="H14" i="1"/>
  <c r="F47" i="2"/>
  <c r="F53" s="1"/>
  <c r="F58" s="1"/>
  <c r="H11" i="1" s="1"/>
  <c r="F8"/>
  <c r="F51" s="1"/>
  <c r="D9" i="3"/>
  <c r="D16" s="1"/>
  <c r="F28" i="22"/>
  <c r="E26"/>
  <c r="E11" s="1"/>
  <c r="D54"/>
  <c r="D56" s="1"/>
  <c r="D13"/>
  <c r="D17"/>
  <c r="E13" l="1"/>
  <c r="I49" i="1"/>
  <c r="H26"/>
  <c r="H49" s="1"/>
  <c r="F17" i="22"/>
  <c r="G28"/>
  <c r="G26" s="1"/>
  <c r="G11" s="1"/>
  <c r="G13" s="1"/>
  <c r="C13" i="15"/>
  <c r="C12" i="17"/>
  <c r="E47" i="2"/>
  <c r="E53" s="1"/>
  <c r="E58" s="1"/>
  <c r="G11" i="1" s="1"/>
  <c r="G26" s="1"/>
  <c r="G49" s="1"/>
  <c r="F26" i="22"/>
  <c r="F11" s="1"/>
  <c r="F13" s="1"/>
  <c r="E9" i="3"/>
  <c r="E16" s="1"/>
  <c r="G8" i="1"/>
  <c r="D15" i="22"/>
  <c r="C16" i="16"/>
  <c r="G23" i="3"/>
  <c r="H30" i="17"/>
  <c r="H54" i="1" l="1"/>
  <c r="G51"/>
  <c r="F9" i="3" s="1"/>
  <c r="F16" s="1"/>
  <c r="E15" i="22"/>
  <c r="F15" s="1"/>
  <c r="G15" s="1"/>
  <c r="C14" i="15"/>
  <c r="C13" i="17"/>
  <c r="H23" i="3"/>
  <c r="I30" i="17"/>
  <c r="C17" i="16"/>
  <c r="E54" i="22"/>
  <c r="E56" s="1"/>
  <c r="E17"/>
  <c r="E43"/>
  <c r="E44" s="1"/>
  <c r="E49" s="1"/>
  <c r="E83" s="1"/>
  <c r="E85" s="1"/>
  <c r="G43"/>
  <c r="G44" s="1"/>
  <c r="G49" s="1"/>
  <c r="D43"/>
  <c r="D44" s="1"/>
  <c r="D49" s="1"/>
  <c r="D83" s="1"/>
  <c r="D85" s="1"/>
  <c r="F43"/>
  <c r="F44" s="1"/>
  <c r="F49" s="1"/>
  <c r="F83" s="1"/>
  <c r="F85" s="1"/>
  <c r="H28"/>
  <c r="G17"/>
  <c r="C59" l="1"/>
  <c r="C58"/>
  <c r="D90" s="1"/>
  <c r="M56"/>
  <c r="L58" s="1"/>
  <c r="H8" i="1"/>
  <c r="H51" s="1"/>
  <c r="I8" s="1"/>
  <c r="I51" s="1"/>
  <c r="H9" i="3" s="1"/>
  <c r="J30" i="17"/>
  <c r="I23" i="3"/>
  <c r="H26" i="22"/>
  <c r="H11" s="1"/>
  <c r="H13" s="1"/>
  <c r="H15" s="1"/>
  <c r="H17"/>
  <c r="I28"/>
  <c r="C18" i="16"/>
  <c r="G9" i="3"/>
  <c r="G16" s="1"/>
  <c r="C15" i="15"/>
  <c r="C14" i="17"/>
  <c r="H16" i="3" l="1"/>
  <c r="J8" i="1"/>
  <c r="J51" s="1"/>
  <c r="K30" i="17"/>
  <c r="J23" i="3"/>
  <c r="C19" i="16"/>
  <c r="I17" i="22"/>
  <c r="J28"/>
  <c r="C16" i="15"/>
  <c r="C15" i="17"/>
  <c r="I26" i="22"/>
  <c r="I11" s="1"/>
  <c r="I13" s="1"/>
  <c r="I15" s="1"/>
  <c r="K8" i="1" l="1"/>
  <c r="K51" s="1"/>
  <c r="I9" i="3"/>
  <c r="I16" s="1"/>
  <c r="L30" i="17"/>
  <c r="K23" i="3"/>
  <c r="J26" i="22"/>
  <c r="J11" s="1"/>
  <c r="J13" s="1"/>
  <c r="J15" s="1"/>
  <c r="K28"/>
  <c r="L28" s="1"/>
  <c r="C20" i="16"/>
  <c r="C17" i="15"/>
  <c r="C16" i="17"/>
  <c r="L8" i="1" l="1"/>
  <c r="L51" s="1"/>
  <c r="J9" i="3"/>
  <c r="J16" s="1"/>
  <c r="L26" i="22"/>
  <c r="L11" s="1"/>
  <c r="L13" s="1"/>
  <c r="F69"/>
  <c r="M30" i="17"/>
  <c r="L23" i="3"/>
  <c r="C18" i="15"/>
  <c r="C17" i="17"/>
  <c r="C21" i="16"/>
  <c r="K26" i="22"/>
  <c r="K11" s="1"/>
  <c r="K13" s="1"/>
  <c r="K15" s="1"/>
  <c r="M8" i="1" l="1"/>
  <c r="M51" s="1"/>
  <c r="K9" i="3"/>
  <c r="K16" s="1"/>
  <c r="L15" i="22"/>
  <c r="F68" s="1"/>
  <c r="F70" s="1"/>
  <c r="N30" i="17"/>
  <c r="O30" s="1"/>
  <c r="P30" s="1"/>
  <c r="Q30" s="1"/>
  <c r="R30" s="1"/>
  <c r="S30" s="1"/>
  <c r="T30" s="1"/>
  <c r="U30" s="1"/>
  <c r="V30" s="1"/>
  <c r="W30" s="1"/>
  <c r="M23" i="3"/>
  <c r="C22" i="16"/>
  <c r="C19" i="15"/>
  <c r="C18" i="17"/>
  <c r="N8" i="1" l="1"/>
  <c r="N51" s="1"/>
  <c r="M9" i="3" s="1"/>
  <c r="M16" s="1"/>
  <c r="L9"/>
  <c r="L16" s="1"/>
  <c r="C23" i="16"/>
  <c r="C20" i="15"/>
  <c r="C19" i="17"/>
  <c r="C24" i="16" l="1"/>
  <c r="C21" i="15"/>
  <c r="C20" i="17"/>
  <c r="C22" i="15" l="1"/>
  <c r="C21" i="17"/>
  <c r="C25" i="16"/>
  <c r="C26" l="1"/>
  <c r="C23" i="15"/>
  <c r="C22" i="17"/>
  <c r="C24" i="15" l="1"/>
  <c r="C23" i="17"/>
  <c r="D29" i="16" a="1"/>
  <c r="U29" l="1"/>
  <c r="U31" s="1"/>
  <c r="N29"/>
  <c r="N31" s="1"/>
  <c r="Q29"/>
  <c r="Q31" s="1"/>
  <c r="H29"/>
  <c r="H31" s="1"/>
  <c r="W29"/>
  <c r="W31" s="1"/>
  <c r="K29"/>
  <c r="K31" s="1"/>
  <c r="I29"/>
  <c r="I31" s="1"/>
  <c r="P29"/>
  <c r="P31" s="1"/>
  <c r="D29"/>
  <c r="D31" s="1"/>
  <c r="F29"/>
  <c r="F31" s="1"/>
  <c r="R29"/>
  <c r="R31" s="1"/>
  <c r="T29"/>
  <c r="T31" s="1"/>
  <c r="V29"/>
  <c r="V31" s="1"/>
  <c r="O29"/>
  <c r="O31" s="1"/>
  <c r="J29"/>
  <c r="J31" s="1"/>
  <c r="L29"/>
  <c r="L31" s="1"/>
  <c r="S29"/>
  <c r="S31" s="1"/>
  <c r="M29"/>
  <c r="M31" s="1"/>
  <c r="E29"/>
  <c r="E31" s="1"/>
  <c r="G29"/>
  <c r="G31" s="1"/>
  <c r="C25" i="15"/>
  <c r="C24" i="17"/>
  <c r="C26" i="15" l="1"/>
  <c r="C25" i="17"/>
  <c r="D29" i="15" l="1" a="1"/>
  <c r="C26" i="17"/>
  <c r="D29" s="1" a="1"/>
  <c r="W29" l="1"/>
  <c r="W31" s="1"/>
  <c r="F29"/>
  <c r="J29"/>
  <c r="R29"/>
  <c r="R31" s="1"/>
  <c r="T29"/>
  <c r="T31" s="1"/>
  <c r="H29"/>
  <c r="G29"/>
  <c r="I29"/>
  <c r="M29"/>
  <c r="S29"/>
  <c r="S31" s="1"/>
  <c r="D29"/>
  <c r="L29"/>
  <c r="Q29"/>
  <c r="Q31" s="1"/>
  <c r="V29"/>
  <c r="V31" s="1"/>
  <c r="P29"/>
  <c r="P31" s="1"/>
  <c r="E29"/>
  <c r="K29"/>
  <c r="O29"/>
  <c r="O31" s="1"/>
  <c r="U29"/>
  <c r="U31" s="1"/>
  <c r="N29"/>
  <c r="N31" s="1"/>
  <c r="N29" i="15"/>
  <c r="N31" s="1"/>
  <c r="Q29"/>
  <c r="Q31" s="1"/>
  <c r="M29"/>
  <c r="M31" s="1"/>
  <c r="I29"/>
  <c r="I31" s="1"/>
  <c r="T29"/>
  <c r="T31" s="1"/>
  <c r="U29"/>
  <c r="U31" s="1"/>
  <c r="D29"/>
  <c r="D31" s="1"/>
  <c r="F29"/>
  <c r="F31" s="1"/>
  <c r="H29"/>
  <c r="H31" s="1"/>
  <c r="R29"/>
  <c r="R31" s="1"/>
  <c r="W29"/>
  <c r="W31" s="1"/>
  <c r="L29"/>
  <c r="L31" s="1"/>
  <c r="S29"/>
  <c r="S31" s="1"/>
  <c r="O29"/>
  <c r="O31" s="1"/>
  <c r="K29"/>
  <c r="K31" s="1"/>
  <c r="P29"/>
  <c r="P31" s="1"/>
  <c r="V29"/>
  <c r="V31" s="1"/>
  <c r="E29"/>
  <c r="E31" s="1"/>
  <c r="G29"/>
  <c r="G31" s="1"/>
  <c r="J29"/>
  <c r="J31" s="1"/>
  <c r="L31" i="17" l="1"/>
  <c r="L22" i="3"/>
  <c r="L24" s="1"/>
  <c r="L27" s="1"/>
  <c r="L29" s="1"/>
  <c r="L58" s="1"/>
  <c r="L52" s="1"/>
  <c r="L56" s="1"/>
  <c r="I31" i="17"/>
  <c r="I22" i="3"/>
  <c r="I24" s="1"/>
  <c r="I27" s="1"/>
  <c r="I29" s="1"/>
  <c r="I58" s="1"/>
  <c r="I52" s="1"/>
  <c r="I56" s="1"/>
  <c r="K31" i="17"/>
  <c r="K22" i="3"/>
  <c r="K24" s="1"/>
  <c r="K27" s="1"/>
  <c r="K29" s="1"/>
  <c r="K58" s="1"/>
  <c r="K52" s="1"/>
  <c r="K56" s="1"/>
  <c r="M31" i="17"/>
  <c r="M22" i="3"/>
  <c r="M24" s="1"/>
  <c r="M27" s="1"/>
  <c r="M29" s="1"/>
  <c r="M58" s="1"/>
  <c r="M52" s="1"/>
  <c r="M56" s="1"/>
  <c r="J31" i="17"/>
  <c r="J22" i="3"/>
  <c r="J24" s="1"/>
  <c r="J27" s="1"/>
  <c r="J29" s="1"/>
  <c r="J58" s="1"/>
  <c r="J52" s="1"/>
  <c r="J56" s="1"/>
  <c r="E22"/>
  <c r="E24" s="1"/>
  <c r="E27" s="1"/>
  <c r="E29" s="1"/>
  <c r="E58" s="1"/>
  <c r="E52" s="1"/>
  <c r="E56" s="1"/>
  <c r="E31" i="17"/>
  <c r="H31"/>
  <c r="H22" i="3"/>
  <c r="H24" s="1"/>
  <c r="H27" s="1"/>
  <c r="H29" s="1"/>
  <c r="H58" s="1"/>
  <c r="H52" s="1"/>
  <c r="H56" s="1"/>
  <c r="F31" i="17"/>
  <c r="F22" i="3"/>
  <c r="F24" s="1"/>
  <c r="F27" s="1"/>
  <c r="F29" s="1"/>
  <c r="F58" s="1"/>
  <c r="F52" s="1"/>
  <c r="F56" s="1"/>
  <c r="D31" i="17"/>
  <c r="D22" i="3"/>
  <c r="D24" s="1"/>
  <c r="D27" s="1"/>
  <c r="D29" s="1"/>
  <c r="D58" s="1"/>
  <c r="D52" s="1"/>
  <c r="D56" s="1"/>
  <c r="G22"/>
  <c r="G24" s="1"/>
  <c r="G27" s="1"/>
  <c r="G29" s="1"/>
  <c r="G58" s="1"/>
  <c r="G52" s="1"/>
  <c r="G56" s="1"/>
  <c r="G31" i="17"/>
</calcChain>
</file>

<file path=xl/sharedStrings.xml><?xml version="1.0" encoding="utf-8"?>
<sst xmlns="http://schemas.openxmlformats.org/spreadsheetml/2006/main" count="1576" uniqueCount="647">
  <si>
    <t>CASH FLOWS FROM OPERATING ACTIVITIES:</t>
  </si>
  <si>
    <t>Net Income</t>
  </si>
  <si>
    <t>Adjustments to Reconcile Net Income to Net Cash Provided by Operating Activities</t>
  </si>
  <si>
    <t>Add: Depreciation</t>
  </si>
  <si>
    <t>Add: Amortization</t>
  </si>
  <si>
    <t>Changes in Current Assets and Liabilities:</t>
  </si>
  <si>
    <t>Marketable Securities</t>
  </si>
  <si>
    <t>Other Current Assets</t>
  </si>
  <si>
    <t>Percentage of all Passed in LM &amp; MM PFSA's</t>
    <phoneticPr fontId="3" type="noConversion"/>
  </si>
  <si>
    <t>up to 20 years</t>
  </si>
  <si>
    <t xml:space="preserve">Total </t>
  </si>
  <si>
    <t>EBITDA</t>
  </si>
  <si>
    <t>Depreciation</t>
  </si>
  <si>
    <t>Amortization</t>
  </si>
  <si>
    <t>5/100 Mbps</t>
    <phoneticPr fontId="3" type="noConversion"/>
  </si>
  <si>
    <t>10/100 Mbps</t>
    <phoneticPr fontId="3" type="noConversion"/>
  </si>
  <si>
    <t>20/100 Mbps</t>
    <phoneticPr fontId="3" type="noConversion"/>
  </si>
  <si>
    <t>30/100 Mbps</t>
    <phoneticPr fontId="3" type="noConversion"/>
  </si>
  <si>
    <t>40/100 Mbps</t>
    <phoneticPr fontId="3" type="noConversion"/>
  </si>
  <si>
    <t>Total All Residential Subscribers</t>
    <phoneticPr fontId="3" type="noConversion"/>
  </si>
  <si>
    <t>Businesses</t>
  </si>
  <si>
    <t>10 MBps VLAN</t>
    <phoneticPr fontId="3" type="noConversion"/>
  </si>
  <si>
    <t>100 MbpsVLAN</t>
    <phoneticPr fontId="3" type="noConversion"/>
  </si>
  <si>
    <t>1 Gbps VLAN</t>
    <phoneticPr fontId="3" type="noConversion"/>
  </si>
  <si>
    <t>Total All Business Subscribers</t>
    <phoneticPr fontId="3" type="noConversion"/>
  </si>
  <si>
    <t>Plant in Service</t>
  </si>
  <si>
    <t>Less: Accumulated Depreciation</t>
  </si>
  <si>
    <t xml:space="preserve">      Net Plant</t>
  </si>
  <si>
    <t xml:space="preserve">Other </t>
  </si>
  <si>
    <t>Total Non-Current Assets</t>
  </si>
  <si>
    <t>Total Assets</t>
  </si>
  <si>
    <t>Liabilities and Owners' Equity</t>
  </si>
  <si>
    <t>Liabilities</t>
  </si>
  <si>
    <t>Current Liabilities</t>
  </si>
  <si>
    <t>Check Sum</t>
  </si>
  <si>
    <t>Total Current Liabilities</t>
  </si>
  <si>
    <t>Total Long-Term Liabilities</t>
  </si>
  <si>
    <t>Total Liabilities</t>
  </si>
  <si>
    <t>NOTE:  NEED TO MATCH TOTALS IN THIS APPENDIX TO ATTACHMENT H1 TO H2</t>
  </si>
  <si>
    <t>Forecast Project Period</t>
  </si>
  <si>
    <t>Income Statement</t>
  </si>
  <si>
    <t>Revenues</t>
  </si>
  <si>
    <t xml:space="preserve">Planned Service Offerings from Attachments A &amp; B </t>
    <phoneticPr fontId="3" type="noConversion"/>
  </si>
  <si>
    <t>Total Passed (fiber to the curb) for all LM PFSAs</t>
    <phoneticPr fontId="3" type="noConversion"/>
  </si>
  <si>
    <t>Total Planned Subscribers for Year 5 from Attachment H</t>
    <phoneticPr fontId="3" type="noConversion"/>
  </si>
  <si>
    <t>% of All Passed in  LM PFSAs</t>
    <phoneticPr fontId="3" type="noConversion"/>
  </si>
  <si>
    <t>Total Passed (within 500 feet of MM Manhole) for MM PFSA</t>
    <phoneticPr fontId="3" type="noConversion"/>
  </si>
  <si>
    <t>Customer Care</t>
  </si>
  <si>
    <t>Billing</t>
  </si>
  <si>
    <t>Corporate G&amp;A</t>
  </si>
  <si>
    <t>Planned Service Offering Bandwidth</t>
  </si>
  <si>
    <t>Planned Service Offering Rate (Cost/Month)</t>
  </si>
  <si>
    <t>Residential Subscribers (Households)</t>
  </si>
  <si>
    <t>must be less than loan period</t>
  </si>
  <si>
    <t>Loan Year</t>
  </si>
  <si>
    <t>Interest Expense - New Debt</t>
  </si>
  <si>
    <t>Interest Expense - Existing Debt</t>
  </si>
  <si>
    <t>ROW Access Fees</t>
  </si>
  <si>
    <t>Include (residential, Business, and Anchor)?</t>
  </si>
  <si>
    <t>Include (Wholesale)?</t>
  </si>
  <si>
    <t xml:space="preserve">      Urbana-Champaign Big Broadband</t>
    <phoneticPr fontId="3" type="noConversion"/>
  </si>
  <si>
    <t>APPENDIX 2; Attachment H – Broadband Service Offerings and Subscriber Estimates</t>
    <phoneticPr fontId="3" type="noConversion"/>
  </si>
  <si>
    <t>Broadband Service Offerings and Subscriber Estimates</t>
    <phoneticPr fontId="3" type="noConversion"/>
  </si>
  <si>
    <t>Subscribers Estimates</t>
    <phoneticPr fontId="3" type="noConversion"/>
  </si>
  <si>
    <t>All Last Mile 
Proposed Funded Service Area</t>
    <phoneticPr fontId="3" type="noConversion"/>
  </si>
  <si>
    <t>Traffic Characterization Software</t>
  </si>
  <si>
    <t>ISP 2 Gbps</t>
    <phoneticPr fontId="3" type="noConversion"/>
  </si>
  <si>
    <t>ISP 10 Gbps</t>
    <phoneticPr fontId="3" type="noConversion"/>
  </si>
  <si>
    <t>Start 9-1-10</t>
  </si>
  <si>
    <t>UC2B Director</t>
  </si>
  <si>
    <t>Middle Mile 
Proposed Funded Service Area</t>
    <phoneticPr fontId="3" type="noConversion"/>
  </si>
  <si>
    <t>Combined Last Mile and Middle Mile PFSA's</t>
    <phoneticPr fontId="3" type="noConversion"/>
  </si>
  <si>
    <t>Start 4-1-2010</t>
  </si>
  <si>
    <t>base w/benefits</t>
  </si>
  <si>
    <t>annual escalation</t>
  </si>
  <si>
    <t>JULIE fiber locates (fiber ring)</t>
  </si>
  <si>
    <t>Statement of Cash Flows</t>
  </si>
  <si>
    <t/>
  </si>
  <si>
    <t>Year 1</t>
  </si>
  <si>
    <t>Year 2</t>
  </si>
  <si>
    <t>Year 3</t>
  </si>
  <si>
    <t>Year 4</t>
  </si>
  <si>
    <t>Year 5</t>
  </si>
  <si>
    <t>Beginning Cash</t>
  </si>
  <si>
    <t>do not enter data in these cells</t>
  </si>
  <si>
    <t>start 7-1-10</t>
  </si>
  <si>
    <t>Number</t>
  </si>
  <si>
    <t>UIUC Telecomunication Node Rental Space</t>
  </si>
  <si>
    <t>Yr 1 Time Mult</t>
  </si>
  <si>
    <t>UIUC Telecomunication Node Power</t>
  </si>
  <si>
    <t>Percent of Gross Sales</t>
  </si>
  <si>
    <t>Accounts Receivable</t>
  </si>
  <si>
    <t>Inventory</t>
  </si>
  <si>
    <t>Prepayments</t>
  </si>
  <si>
    <t>Net Cash Provided (Used) by Operations</t>
  </si>
  <si>
    <t>Other Grants</t>
  </si>
  <si>
    <t>Legal</t>
  </si>
  <si>
    <t>Accounts Payable</t>
  </si>
  <si>
    <t>Other Current Liabilities</t>
  </si>
  <si>
    <t>CASH FLOWS FROM INVESTING ACTIVITIES:</t>
  </si>
  <si>
    <t>Capital Expenditures (Eligible Project Costs)</t>
  </si>
  <si>
    <t>Capital Expenditures (other)</t>
  </si>
  <si>
    <t>Amortizable Asset (Net of Amortization)</t>
  </si>
  <si>
    <t>Long-Term Investments</t>
  </si>
  <si>
    <t>Net Cash Used by Investing Activities</t>
  </si>
  <si>
    <t>CASH FLOWS FROM FINANCING ACTIVITIES:</t>
  </si>
  <si>
    <t>Notes Receivable</t>
  </si>
  <si>
    <t>Notes Payable</t>
  </si>
  <si>
    <t>Principal Payments</t>
  </si>
  <si>
    <t>Grant Award</t>
  </si>
  <si>
    <t>Matching Contribution</t>
  </si>
  <si>
    <t>New Borrowing</t>
  </si>
  <si>
    <t>Anchor Institutions</t>
    <phoneticPr fontId="3" type="noConversion"/>
  </si>
  <si>
    <t>Total All Anchor Institutions</t>
    <phoneticPr fontId="3" type="noConversion"/>
  </si>
  <si>
    <t>Last Mile Providers</t>
  </si>
  <si>
    <t>Cust 100 Mbps</t>
    <phoneticPr fontId="3" type="noConversion"/>
  </si>
  <si>
    <t>Cust 1 Gbps</t>
    <phoneticPr fontId="3" type="noConversion"/>
  </si>
  <si>
    <t>ISP 1 Gbps</t>
    <phoneticPr fontId="3" type="noConversion"/>
  </si>
  <si>
    <t>Net Cash Provided by Financing Activities</t>
  </si>
  <si>
    <t>Net Increase (Decrease) in Cash</t>
  </si>
  <si>
    <t>Ending Cash</t>
  </si>
  <si>
    <t>Year Five</t>
    <phoneticPr fontId="3" type="noConversion"/>
  </si>
  <si>
    <t>Q1</t>
    <phoneticPr fontId="3" type="noConversion"/>
  </si>
  <si>
    <t>Network Services Revenues:</t>
  </si>
  <si>
    <t xml:space="preserve">    Local Voice Service</t>
  </si>
  <si>
    <t xml:space="preserve">    Broadband Data</t>
  </si>
  <si>
    <t xml:space="preserve">    Video Services</t>
  </si>
  <si>
    <t>Network Access Service Revenues</t>
  </si>
  <si>
    <t>Universal Service Fund</t>
  </si>
  <si>
    <t>Toll Service/Long Distance Voice</t>
  </si>
  <si>
    <t>Installation Revenues</t>
  </si>
  <si>
    <t>Other Operating Revenues</t>
  </si>
  <si>
    <t>Tax Revenue</t>
  </si>
  <si>
    <t>Uncollectible Revenues</t>
  </si>
  <si>
    <t>Total Revenues</t>
  </si>
  <si>
    <t>Expenses</t>
  </si>
  <si>
    <t>Backhaul</t>
  </si>
  <si>
    <t>Network Maintenance/Monitoring</t>
  </si>
  <si>
    <t>Utilities</t>
  </si>
  <si>
    <t>Leasing</t>
  </si>
  <si>
    <t>Sales/Marketing</t>
  </si>
  <si>
    <t>UC2B 10/100</t>
    <phoneticPr fontId="3" type="noConversion"/>
  </si>
  <si>
    <t>Earnings Before Interest and Taxes</t>
  </si>
  <si>
    <t>UC2B 20/100</t>
    <phoneticPr fontId="3" type="noConversion"/>
  </si>
  <si>
    <t>UC2B 30/100</t>
    <phoneticPr fontId="3" type="noConversion"/>
  </si>
  <si>
    <t>UC2B 40/100</t>
    <phoneticPr fontId="3" type="noConversion"/>
  </si>
  <si>
    <t>Interest Expense - Other</t>
  </si>
  <si>
    <t>Income Before Taxes</t>
  </si>
  <si>
    <t>Property Tax</t>
  </si>
  <si>
    <t>Income Taxes</t>
  </si>
  <si>
    <t>Balance Sheet</t>
  </si>
  <si>
    <t>Assets</t>
  </si>
  <si>
    <t>Current Assets</t>
  </si>
  <si>
    <t>Cash</t>
  </si>
  <si>
    <t>Total Current Assets</t>
  </si>
  <si>
    <t>Non-Current Assets</t>
  </si>
  <si>
    <t>Residential Customers</t>
    <phoneticPr fontId="3" type="noConversion"/>
  </si>
  <si>
    <t>The UC2B Last Mile Services will be the same in all Service Areas</t>
    <phoneticPr fontId="5" type="noConversion"/>
  </si>
  <si>
    <t>Current Portion - Total Debt</t>
  </si>
  <si>
    <t>Current Portion - Other Debt</t>
  </si>
  <si>
    <t>Downstream
Mbps</t>
    <phoneticPr fontId="5" type="noConversion"/>
  </si>
  <si>
    <t>Upstream
Mbps</t>
    <phoneticPr fontId="5" type="noConversion"/>
  </si>
  <si>
    <t>Owner's Equity</t>
  </si>
  <si>
    <t>Capital Stock</t>
  </si>
  <si>
    <t>Additional Paid-In Capital</t>
  </si>
  <si>
    <t>Patronage Capital Credits</t>
  </si>
  <si>
    <t>Retained Earnings</t>
  </si>
  <si>
    <t>Total Equity</t>
  </si>
  <si>
    <t>Total Liabilities and Owner's Equity</t>
  </si>
  <si>
    <t>Sources of Funds</t>
  </si>
  <si>
    <t>BTOP Grant</t>
  </si>
  <si>
    <t>Uses of Funds</t>
  </si>
  <si>
    <t>Year</t>
  </si>
  <si>
    <t>Financial Assumptions</t>
  </si>
  <si>
    <t>Loan</t>
  </si>
  <si>
    <t>Term of Loan (years)</t>
  </si>
  <si>
    <t>Finance Rate (loan)</t>
  </si>
  <si>
    <t>Amount</t>
  </si>
  <si>
    <t>Term in Years</t>
  </si>
  <si>
    <t>Annual Rate</t>
  </si>
  <si>
    <t>Balance</t>
  </si>
  <si>
    <t>Principal</t>
  </si>
  <si>
    <t>Interest</t>
  </si>
  <si>
    <t>Payment</t>
  </si>
  <si>
    <t>P</t>
  </si>
  <si>
    <t>I</t>
  </si>
  <si>
    <t>Principal Repayment Period Start</t>
  </si>
  <si>
    <t>Total Planned Subscribers for Year 5 from Attachment H for MM PFSA</t>
    <phoneticPr fontId="3" type="noConversion"/>
  </si>
  <si>
    <t>% of All Passed in MM PFSA</t>
    <phoneticPr fontId="3" type="noConversion"/>
  </si>
  <si>
    <t>Total Planned Subscribers from LM &amp; MM PFSAs</t>
    <phoneticPr fontId="3" type="noConversion"/>
  </si>
  <si>
    <t>Private VLAN 1 Gbps</t>
    <phoneticPr fontId="5" type="noConversion"/>
  </si>
  <si>
    <t>Loan Repayment Schedule</t>
  </si>
  <si>
    <t>Operation Year</t>
  </si>
  <si>
    <t>Grants &amp; Financing</t>
  </si>
  <si>
    <t>Posting</t>
  </si>
  <si>
    <t>Link Status</t>
  </si>
  <si>
    <t>Complete</t>
  </si>
  <si>
    <t>IS</t>
  </si>
  <si>
    <t>CF via Loan sheets</t>
  </si>
  <si>
    <t>none anticipated</t>
  </si>
  <si>
    <t>Partial</t>
  </si>
  <si>
    <t>Dark Fiber IRU</t>
  </si>
  <si>
    <t>Group total</t>
  </si>
  <si>
    <t>Donation from UI (cash and in-kind)</t>
  </si>
  <si>
    <t>Cash for 1 Gbps Internet Connection</t>
  </si>
  <si>
    <t>In-Kind for 1 Gbps Internet Transport</t>
  </si>
  <si>
    <t>Other</t>
  </si>
  <si>
    <t>Loan Sheets</t>
  </si>
  <si>
    <t>Loans</t>
  </si>
  <si>
    <t>1 Gbps Internet Connection</t>
  </si>
  <si>
    <t>1 Gbps Transport</t>
  </si>
  <si>
    <t>$3,500 per month (service donated for 5 years)</t>
  </si>
  <si>
    <t>Cash donation for 5 years</t>
  </si>
  <si>
    <t>Beginning Cash Balance</t>
  </si>
  <si>
    <t>CF</t>
  </si>
  <si>
    <t>The UC2B Middle Mile Service Offerings will be the same throughout the Service Area</t>
    <phoneticPr fontId="2" type="noConversion"/>
  </si>
  <si>
    <t>Service Offering</t>
    <phoneticPr fontId="2" type="noConversion"/>
  </si>
  <si>
    <t>Distance Band or Point to Point</t>
    <phoneticPr fontId="2" type="noConversion"/>
  </si>
  <si>
    <t>JULIE fiber locates (block groups)</t>
  </si>
  <si>
    <t>Base</t>
  </si>
  <si>
    <t>Total</t>
  </si>
  <si>
    <t>Help Desk</t>
  </si>
  <si>
    <t>Legend</t>
  </si>
  <si>
    <t>Data entry cells are shaded</t>
  </si>
  <si>
    <t>Action items are shaded</t>
  </si>
  <si>
    <t>Unused cells are shaded with</t>
  </si>
  <si>
    <t>No CIR  or VLAN Charge</t>
    <phoneticPr fontId="2" type="noConversion"/>
  </si>
  <si>
    <t>Participant Contributions</t>
  </si>
  <si>
    <t>General (based on gross sales)</t>
  </si>
  <si>
    <t>per residential</t>
  </si>
  <si>
    <t>per business</t>
  </si>
  <si>
    <t>Last Mile Provider (ISP)
 Redundant Core Connections
Dual 10 Gbps Ports</t>
    <phoneticPr fontId="2" type="noConversion"/>
  </si>
  <si>
    <t>10,000 X 2</t>
    <phoneticPr fontId="2" type="noConversion"/>
  </si>
  <si>
    <t>Accounting</t>
  </si>
  <si>
    <t>Bandwidth</t>
  </si>
  <si>
    <t>Years 1 to 6</t>
  </si>
  <si>
    <t>Year 7 Plus</t>
  </si>
  <si>
    <t>January and August 2010</t>
  </si>
  <si>
    <t>5/100</t>
  </si>
  <si>
    <t>10/100</t>
  </si>
  <si>
    <t>20/100</t>
  </si>
  <si>
    <t>30/100</t>
  </si>
  <si>
    <t>40/100</t>
  </si>
  <si>
    <t>UC2B Network Engineers</t>
  </si>
  <si>
    <t>Start 7-1-2010 and 1-1-2011</t>
  </si>
  <si>
    <t>Unshaded cells have formulas - do not enter data in these cells</t>
  </si>
  <si>
    <t>Attachment H - UC2B Subscriber Counts</t>
    <phoneticPr fontId="3" type="noConversion"/>
  </si>
  <si>
    <t>ISP Wholesale Customers</t>
    <phoneticPr fontId="3" type="noConversion"/>
  </si>
  <si>
    <t>Year Zero</t>
    <phoneticPr fontId="3" type="noConversion"/>
  </si>
  <si>
    <t>Year One</t>
    <phoneticPr fontId="3" type="noConversion"/>
  </si>
  <si>
    <t>Year Two</t>
    <phoneticPr fontId="3" type="noConversion"/>
  </si>
  <si>
    <t>Year Three</t>
    <phoneticPr fontId="3" type="noConversion"/>
  </si>
  <si>
    <t>Year Four</t>
    <phoneticPr fontId="3" type="noConversion"/>
  </si>
  <si>
    <t>Servers Computers</t>
  </si>
  <si>
    <t>Additional Paid-in Capital</t>
  </si>
  <si>
    <t>Additions to Patronage Capital Credits</t>
  </si>
  <si>
    <t>Payment of Dividends</t>
  </si>
  <si>
    <t>Revenue Summary by Year</t>
  </si>
  <si>
    <t>Customer Summary by Quarter</t>
  </si>
  <si>
    <t>Customer Summary (End-of-Year)</t>
  </si>
  <si>
    <t>Q2</t>
    <phoneticPr fontId="3" type="noConversion"/>
  </si>
  <si>
    <t>Q3</t>
    <phoneticPr fontId="3" type="noConversion"/>
  </si>
  <si>
    <t>Q4</t>
    <phoneticPr fontId="3" type="noConversion"/>
  </si>
  <si>
    <t>Q1</t>
    <phoneticPr fontId="3" type="noConversion"/>
  </si>
  <si>
    <t>Service Type #1</t>
    <phoneticPr fontId="3" type="noConversion"/>
  </si>
  <si>
    <t>100 Mbps Layer 2</t>
    <phoneticPr fontId="3" type="noConversion"/>
  </si>
  <si>
    <t>Net add-ons</t>
    <phoneticPr fontId="3" type="noConversion"/>
  </si>
  <si>
    <t>Cumulative subscribers</t>
    <phoneticPr fontId="3" type="noConversion"/>
  </si>
  <si>
    <t>Service Type #2</t>
    <phoneticPr fontId="3" type="noConversion"/>
  </si>
  <si>
    <t>1 Gps Layer 2</t>
    <phoneticPr fontId="3" type="noConversion"/>
  </si>
  <si>
    <t>Service Type #3</t>
    <phoneticPr fontId="3" type="noConversion"/>
  </si>
  <si>
    <t>ISP 1 Gbps</t>
    <phoneticPr fontId="3" type="noConversion"/>
  </si>
  <si>
    <t>Service Type #4</t>
    <phoneticPr fontId="3" type="noConversion"/>
  </si>
  <si>
    <t>ISP 2 Gbps</t>
    <phoneticPr fontId="3" type="noConversion"/>
  </si>
  <si>
    <t>Service Type #5</t>
    <phoneticPr fontId="3" type="noConversion"/>
  </si>
  <si>
    <t>Total All ISP Sites:</t>
    <phoneticPr fontId="3" type="noConversion"/>
  </si>
  <si>
    <t xml:space="preserve">Total All ISP's: </t>
    <phoneticPr fontId="3" type="noConversion"/>
  </si>
  <si>
    <t>Attachment H4 - UC2B Subscriber Counts</t>
  </si>
  <si>
    <t>Business Customers</t>
    <phoneticPr fontId="3" type="noConversion"/>
  </si>
  <si>
    <t>UC2B 5/100</t>
    <phoneticPr fontId="3" type="noConversion"/>
  </si>
  <si>
    <t>Cumulative subscribers</t>
    <phoneticPr fontId="3" type="noConversion"/>
  </si>
  <si>
    <t>SERVICE AREA or COMMON NETWORK FACILITIES</t>
  </si>
  <si>
    <t>UNIT COST</t>
  </si>
  <si>
    <t>No. of UNITS</t>
  </si>
  <si>
    <t xml:space="preserve">Total All Business Customers: </t>
    <phoneticPr fontId="3" type="noConversion"/>
  </si>
  <si>
    <t>Attachment H3 - UC2B Subscriber Counts</t>
  </si>
  <si>
    <t>Anchor 
Institutions</t>
    <phoneticPr fontId="3" type="noConversion"/>
  </si>
  <si>
    <t>Total All Anchor Institutions</t>
    <phoneticPr fontId="3" type="noConversion"/>
  </si>
  <si>
    <t>Attachment H2 - UC2B Subscriber Counts</t>
  </si>
  <si>
    <t>WDM-PON OLT</t>
  </si>
  <si>
    <t>Advertised Speeds</t>
    <phoneticPr fontId="5" type="noConversion"/>
  </si>
  <si>
    <t>Name of Tier</t>
    <phoneticPr fontId="5" type="noConversion"/>
  </si>
  <si>
    <t>Long-Term Liabilities</t>
  </si>
  <si>
    <t>Deferred Revenue</t>
  </si>
  <si>
    <t>Existing Debt</t>
  </si>
  <si>
    <t>Proposed Debt</t>
  </si>
  <si>
    <t>Fiber pulling - figure 8 - per foot</t>
    <phoneticPr fontId="5"/>
  </si>
  <si>
    <t>Fiber Laterals</t>
  </si>
  <si>
    <t>Average cost for Anchor Institution build-outs</t>
  </si>
  <si>
    <t>Splicing</t>
  </si>
  <si>
    <t>Butt Splice</t>
  </si>
  <si>
    <t>@ end-user CPE milliseconds</t>
    <phoneticPr fontId="5" type="noConversion"/>
  </si>
  <si>
    <t>Residential</t>
    <phoneticPr fontId="5" type="noConversion"/>
  </si>
  <si>
    <t>&lt;10 ms</t>
    <phoneticPr fontId="5" type="noConversion"/>
  </si>
  <si>
    <t>UC2B 20/100Internet CNS</t>
    <phoneticPr fontId="5" type="noConversion"/>
  </si>
  <si>
    <t>UC2B 30/100Internet CNS</t>
    <phoneticPr fontId="5" type="noConversion"/>
  </si>
  <si>
    <t>UC2B 40/100Internet CNS</t>
    <phoneticPr fontId="5" type="noConversion"/>
  </si>
  <si>
    <t>Business and Anchor Institution</t>
    <phoneticPr fontId="5" type="noConversion"/>
  </si>
  <si>
    <t>Private VLAN 10 Mbps</t>
    <phoneticPr fontId="5" type="noConversion"/>
  </si>
  <si>
    <t>Concrete removal for sidewalks &amp; streets</t>
  </si>
  <si>
    <t>Private VLAN 100 Mbps</t>
    <phoneticPr fontId="5" type="noConversion"/>
  </si>
  <si>
    <t>Customer Premises Equipment</t>
  </si>
  <si>
    <t>Modems</t>
  </si>
  <si>
    <t>Wireless Router</t>
  </si>
  <si>
    <r>
      <t>Note # 1</t>
    </r>
    <r>
      <rPr>
        <sz val="10"/>
        <rFont val="Arial"/>
        <family val="2"/>
      </rPr>
      <t xml:space="preserve"> - All CNS subscribers will always have the full speed of their CPE's Ethernet port to the UC2B Community Network Service</t>
    </r>
  </si>
  <si>
    <r>
      <t>Note # 2</t>
    </r>
    <r>
      <rPr>
        <sz val="10"/>
        <rFont val="Arial"/>
        <family val="2"/>
      </rPr>
      <t xml:space="preserve"> - Advertised and Average Speeds are indicated by Internet bandwidth  / UC2B Community Network Service (CNS) bandwidth.</t>
    </r>
  </si>
  <si>
    <t>Q1</t>
  </si>
  <si>
    <t>Q2</t>
  </si>
  <si>
    <t>Q3</t>
  </si>
  <si>
    <t>Q4</t>
  </si>
  <si>
    <t>Residential</t>
  </si>
  <si>
    <t>Residential - Subscribers</t>
  </si>
  <si>
    <t>Residential - Revenues</t>
  </si>
  <si>
    <t>Total Residential</t>
  </si>
  <si>
    <t>Business - Subscribers</t>
  </si>
  <si>
    <t>Business - Revenues</t>
  </si>
  <si>
    <t>Total Business</t>
  </si>
  <si>
    <t>Anchor - Subscribers</t>
  </si>
  <si>
    <t>Anchor - Revenues</t>
  </si>
  <si>
    <t>Total Anchor</t>
  </si>
  <si>
    <t>Wholesale - Subscibers</t>
  </si>
  <si>
    <t>WDM-PON Test Equipment</t>
  </si>
  <si>
    <t>Minimum Peak Load Network Capacity (Mbps)</t>
    <phoneticPr fontId="2" type="noConversion"/>
  </si>
  <si>
    <t>Monthly Pricing</t>
    <phoneticPr fontId="2" type="noConversion"/>
  </si>
  <si>
    <t>Other</t>
    <phoneticPr fontId="2" type="noConversion"/>
  </si>
  <si>
    <t>Last Mile Provider  (ISP)
Customer 100 Mbps Port</t>
    <phoneticPr fontId="2" type="noConversion"/>
  </si>
  <si>
    <t>Any POI on  the UC2B MM Network</t>
    <phoneticPr fontId="2" type="noConversion"/>
  </si>
  <si>
    <t>LM Provider must connect to UC2B core in one of the ways below</t>
    <phoneticPr fontId="2" type="noConversion"/>
  </si>
  <si>
    <t>Last Mile Provider (ISP)
Customer 1 Gbps Port</t>
    <phoneticPr fontId="2" type="noConversion"/>
  </si>
  <si>
    <t>Last Mile Provider (ISP)
 Redundant Core Connections
Dual 1 Gbps Ports</t>
    <phoneticPr fontId="2" type="noConversion"/>
  </si>
  <si>
    <t>1,000 x 2</t>
    <phoneticPr fontId="2" type="noConversion"/>
  </si>
  <si>
    <t>Donation from UI (salary)</t>
  </si>
  <si>
    <t>yes</t>
    <phoneticPr fontId="38" type="noConversion"/>
  </si>
  <si>
    <t>Engineered Fiber Drops</t>
  </si>
  <si>
    <t>Discount (ENTER AS A NEGATIVE NUMBER)</t>
  </si>
  <si>
    <t>Adjustment from Org Est</t>
  </si>
  <si>
    <t>Matching Contributions</t>
  </si>
  <si>
    <t>Grant and Matching Contribution Revenue</t>
  </si>
  <si>
    <t>Do not delete these shaded cells- used in calculation, do not print</t>
  </si>
  <si>
    <t xml:space="preserve"> WDM-PON ONT device</t>
  </si>
  <si>
    <t>All core elements of the network are non-blocking and are interconnected at 10 Gbps.</t>
    <phoneticPr fontId="2" type="noConversion"/>
  </si>
  <si>
    <r>
      <t xml:space="preserve">Attachment B1 - Proposed Last Mile Service Offering Pricing </t>
    </r>
    <r>
      <rPr>
        <sz val="12"/>
        <rFont val="Arial"/>
        <family val="2"/>
      </rPr>
      <t>(updated)</t>
    </r>
  </si>
  <si>
    <r>
      <t>Attachment B2 – Proposed Middle Mile Service Offering Pricing</t>
    </r>
    <r>
      <rPr>
        <sz val="14"/>
        <rFont val="Arial"/>
        <family val="2"/>
      </rPr>
      <t xml:space="preserve"> (updated)</t>
    </r>
  </si>
  <si>
    <t>Wholesale - Revenues</t>
  </si>
  <si>
    <t>Total Wholesale</t>
  </si>
  <si>
    <t>Business</t>
  </si>
  <si>
    <t>Anchor</t>
  </si>
  <si>
    <t>Wholesale</t>
  </si>
  <si>
    <t>Total All</t>
  </si>
  <si>
    <t>Revenue Summary by Quarter</t>
  </si>
  <si>
    <t>Fiber to the curb/homes passed</t>
    <phoneticPr fontId="5"/>
  </si>
  <si>
    <t xml:space="preserve">FTTH </t>
  </si>
  <si>
    <t>Rack Mountable Servers</t>
  </si>
  <si>
    <t>Other Upfront Costs</t>
  </si>
  <si>
    <t>Customer Additions (By Year)</t>
  </si>
  <si>
    <t>Customer  (By Quarter)</t>
  </si>
  <si>
    <t>per anchor</t>
  </si>
  <si>
    <t>per wholesale</t>
  </si>
  <si>
    <t>Bill Generations (by Year)</t>
  </si>
  <si>
    <t>ISP 10 Gbps</t>
  </si>
  <si>
    <t>Depreciation Expense by Year</t>
  </si>
  <si>
    <t>Annual</t>
  </si>
  <si>
    <t>Total Accrued</t>
  </si>
  <si>
    <t>Investment</t>
  </si>
  <si>
    <t>Total Annual Depeciation</t>
  </si>
  <si>
    <t>Total Accrued Investment</t>
  </si>
  <si>
    <t>Total Accrued Depreciation</t>
  </si>
  <si>
    <t>Total Depreciated Value</t>
  </si>
  <si>
    <t>Depreciation Schedule - 20 Year Equipment</t>
  </si>
  <si>
    <t>Other Operating Equipment</t>
  </si>
  <si>
    <t>Depreciation Schedule - 5 Year Equipment</t>
  </si>
  <si>
    <t>Depreciation Schedule - Summary</t>
  </si>
  <si>
    <t>Customer Additions (by year)</t>
  </si>
  <si>
    <t>100 Mbps</t>
  </si>
  <si>
    <t>1 Gbps</t>
  </si>
  <si>
    <t>year 2</t>
  </si>
  <si>
    <t>Year3-5 Growth</t>
    <phoneticPr fontId="38" type="noConversion"/>
  </si>
  <si>
    <t>TOTAL COST</t>
  </si>
  <si>
    <t>SUPPORT of REASONABLENESS</t>
  </si>
  <si>
    <t>UC2B Infrastructure Detailed Project Costs</t>
  </si>
  <si>
    <t xml:space="preserve">Metro Aggregation Switches </t>
    <phoneticPr fontId="5"/>
  </si>
  <si>
    <t>Aggregates OLTs and Service Providers</t>
  </si>
  <si>
    <t>"Circuit" &amp; Mgmt Aggregation</t>
  </si>
  <si>
    <t>Aggregates transport circuits &amp; network management tools</t>
  </si>
  <si>
    <t>Routing</t>
  </si>
  <si>
    <t>Peering points</t>
  </si>
  <si>
    <t>On-net traffic access</t>
  </si>
  <si>
    <t>Egress points</t>
  </si>
  <si>
    <t>Off-net traffic access</t>
  </si>
  <si>
    <t>Transport</t>
  </si>
  <si>
    <t>Optical Chassis</t>
  </si>
  <si>
    <t>10GB transport channels for economical BW access</t>
  </si>
  <si>
    <t>10GB Transponders</t>
  </si>
  <si>
    <t>Linecards</t>
  </si>
  <si>
    <t>Access</t>
  </si>
  <si>
    <t>Fiber per foot</t>
    <phoneticPr fontId="5"/>
  </si>
  <si>
    <t>Metro Rings</t>
  </si>
  <si>
    <t>Application Consulting services</t>
    <phoneticPr fontId="5"/>
  </si>
  <si>
    <t>Pricing Plan
$ Per Month</t>
    <phoneticPr fontId="5" type="noConversion"/>
  </si>
  <si>
    <t>Design Consulting services</t>
  </si>
  <si>
    <t>Backbone Engineering Services 
per conduit path mile</t>
    <phoneticPr fontId="5"/>
  </si>
  <si>
    <t>Permits</t>
  </si>
  <si>
    <t>County, RailRoad, State</t>
  </si>
  <si>
    <t>Indirect Cost Recovery</t>
  </si>
  <si>
    <t>Staff Resources</t>
  </si>
  <si>
    <t>GRAND TOTAL</t>
  </si>
  <si>
    <t>Customer Premises Equipment (Qty are placeholder only)</t>
  </si>
  <si>
    <t>20 Year Depreciation</t>
  </si>
  <si>
    <t>5 Year Depreciation</t>
  </si>
  <si>
    <t>Sub-Total</t>
  </si>
  <si>
    <t>each 100M Cust</t>
  </si>
  <si>
    <t>each cust</t>
  </si>
  <si>
    <t>each 1G Cust</t>
  </si>
  <si>
    <t>b</t>
  </si>
  <si>
    <t>Principal  Repayment Start</t>
  </si>
  <si>
    <t>no</t>
  </si>
  <si>
    <t>yes</t>
  </si>
  <si>
    <t>for each customer</t>
  </si>
  <si>
    <t>check-sum</t>
  </si>
  <si>
    <t>ICR</t>
  </si>
  <si>
    <t>Churn</t>
  </si>
  <si>
    <t>Monthly cost per customer</t>
  </si>
  <si>
    <t>Bill Generation</t>
  </si>
  <si>
    <t>Network &amp; Access Equipment</t>
  </si>
  <si>
    <t>Switching</t>
  </si>
  <si>
    <t>Customer Additions (by year) w/o wholesale customers</t>
  </si>
  <si>
    <t>year 1</t>
  </si>
  <si>
    <t>Inside Wiring</t>
  </si>
  <si>
    <t>In-Building Wiring</t>
  </si>
  <si>
    <t>Curb to Building</t>
    <phoneticPr fontId="5"/>
  </si>
  <si>
    <t>WDM-PON CPE access devices</t>
  </si>
  <si>
    <t>Billing Support and Operations Support Systems</t>
  </si>
  <si>
    <t>Billing Support Systems</t>
  </si>
  <si>
    <t xml:space="preserve"> Provisioning &amp; Billing Software</t>
  </si>
  <si>
    <t>Order Processing &amp; Tracking Software</t>
  </si>
  <si>
    <t>Customer Care System</t>
  </si>
  <si>
    <t>Community Help Desk Systems</t>
    <phoneticPr fontId="5"/>
  </si>
  <si>
    <t>Office Equipment</t>
  </si>
  <si>
    <t>Community Help Desk Furnishings</t>
    <phoneticPr fontId="5"/>
  </si>
  <si>
    <t>Testing</t>
  </si>
  <si>
    <t>Network Elements</t>
  </si>
  <si>
    <t>Network Performance Monitor Software</t>
  </si>
  <si>
    <t>WDM-PON metro network equipment</t>
  </si>
  <si>
    <t>Outside Plant</t>
  </si>
  <si>
    <t>Cables</t>
    <phoneticPr fontId="5"/>
  </si>
  <si>
    <t>IT System Elements</t>
  </si>
  <si>
    <t>Average Speeds</t>
    <phoneticPr fontId="5" type="noConversion"/>
  </si>
  <si>
    <t>Average Latency</t>
    <phoneticPr fontId="5" type="noConversion"/>
  </si>
  <si>
    <t>OSA/OTDR</t>
  </si>
  <si>
    <t>Ethernet Port Speed (Mbps)</t>
    <phoneticPr fontId="2" type="noConversion"/>
  </si>
  <si>
    <t>Termination Splicing</t>
  </si>
  <si>
    <t>Splicing in Nodes</t>
  </si>
  <si>
    <t>Splice Case Prep</t>
  </si>
  <si>
    <t>Splice Cases</t>
  </si>
  <si>
    <t>Patch Panel</t>
  </si>
  <si>
    <t>Patch Rack</t>
  </si>
  <si>
    <t>Conduit/Ducts</t>
  </si>
  <si>
    <t>2" HPDE Duct per foot</t>
    <phoneticPr fontId="5"/>
  </si>
  <si>
    <t>Boring per foot</t>
    <phoneticPr fontId="5"/>
  </si>
  <si>
    <t>Hand Holes</t>
  </si>
  <si>
    <t>30"x48"x36"</t>
  </si>
  <si>
    <t>Vaults</t>
  </si>
  <si>
    <t>6'x7'x8'</t>
  </si>
  <si>
    <t>Misc Concrete Repair</t>
    <phoneticPr fontId="5"/>
  </si>
  <si>
    <t>Last Mile Provider (ISP)
 Redundant Core Connections
Dual 2 Gbps Ports
(2 bridged 1 Gbps Ports)</t>
    <phoneticPr fontId="2" type="noConversion"/>
  </si>
  <si>
    <t>2,000 x 2</t>
    <phoneticPr fontId="2" type="noConversion"/>
  </si>
  <si>
    <t>UC2B 20/20</t>
  </si>
  <si>
    <t>UC2B 30/30</t>
  </si>
  <si>
    <t>UC2B 40/40</t>
  </si>
  <si>
    <t>Wireless</t>
  </si>
  <si>
    <t>Total New Customers</t>
  </si>
  <si>
    <t>20/20</t>
  </si>
  <si>
    <t>30/30</t>
  </si>
  <si>
    <t>40/40</t>
  </si>
  <si>
    <t>Not applicable</t>
  </si>
  <si>
    <t>UC2B 20/20Internet CNS</t>
  </si>
  <si>
    <t>UC2B 40/40Internet CNS</t>
  </si>
  <si>
    <t>UC2B 60/60Internet CNS</t>
  </si>
  <si>
    <t>UC2B 80/80Internet CNS</t>
  </si>
  <si>
    <t>UC2B 100/100Internet CNS</t>
  </si>
  <si>
    <t>Oversubscription Rate</t>
  </si>
  <si>
    <t>Actual Subscription</t>
  </si>
  <si>
    <t>Subscription Supported</t>
  </si>
  <si>
    <t># of additional 1 Gbps Connections Needed</t>
  </si>
  <si>
    <t>Monthly Transport Costs per 1 Gbps</t>
  </si>
  <si>
    <t># of Mbps in 1 Gbps Transport</t>
  </si>
  <si>
    <t>Additional Backhaul Costs for Additional Capacity</t>
  </si>
  <si>
    <t>I think this is crazy high?</t>
  </si>
  <si>
    <t>I added this in; additional bandwidth will be needed</t>
  </si>
  <si>
    <t>I changed this number from 2% to 5%</t>
  </si>
  <si>
    <t>I changed this from 16% of revenue to a cost per customer model</t>
  </si>
  <si>
    <t>Changed this from 5% to 6%; added in a Revenue line for this as it is a pass-through cost</t>
  </si>
  <si>
    <t>I added this in to reflect ROW fees that are pass through</t>
  </si>
  <si>
    <t>Adtran ONT device</t>
  </si>
  <si>
    <t>Added this in, per customer, starting in year 3;</t>
  </si>
  <si>
    <t>Service Type #1</t>
  </si>
  <si>
    <t>Net add-ons</t>
  </si>
  <si>
    <t>Cumulative subscribers</t>
  </si>
  <si>
    <t>Service Type #2</t>
  </si>
  <si>
    <t>Service Type #3</t>
  </si>
  <si>
    <t>Service Type #4</t>
  </si>
  <si>
    <t>Service Type #5</t>
  </si>
  <si>
    <t>Service Type #6</t>
  </si>
  <si>
    <t>10 Mbps VLAN</t>
  </si>
  <si>
    <t>Service Type #7</t>
  </si>
  <si>
    <t>100 Mbps VLAN</t>
  </si>
  <si>
    <t>Service Type #8</t>
  </si>
  <si>
    <t>1 Gbps VLAN</t>
  </si>
  <si>
    <t>Oversubscription Analysis, Residential Only</t>
  </si>
  <si>
    <t>Oversubscription Analysis, Businesses Only</t>
  </si>
  <si>
    <t>Number of Customers PASSED</t>
  </si>
  <si>
    <t>Total Customers Passed</t>
  </si>
  <si>
    <t>Take Rate after 2 years</t>
  </si>
  <si>
    <t>Assumes cost of Core and Cabinets, starting in year 3 of customers PASSED (divided total # of customer by .4)</t>
  </si>
  <si>
    <t>Added in 30% discount off of Outside Plant, assuming many of the customers will be in multi-tenant environments.</t>
  </si>
  <si>
    <t>Added in 30% discount off of Design Consulting, assuming many of the customers will be in multi-tenant environments.</t>
  </si>
  <si>
    <t>FINANCING</t>
  </si>
  <si>
    <t>YEAR</t>
  </si>
  <si>
    <t>OPERATIONS</t>
  </si>
  <si>
    <t>Net Cash Flow from Operations</t>
  </si>
  <si>
    <t>Debt Service</t>
  </si>
  <si>
    <t xml:space="preserve">Net Cash Flow </t>
  </si>
  <si>
    <t>Cumulative Cash Flow</t>
  </si>
  <si>
    <t>Debt Service Constant on Outstanding Debt</t>
  </si>
  <si>
    <t>Interest Rate</t>
  </si>
  <si>
    <t>CAPITAL EXPENDITURES</t>
  </si>
  <si>
    <t>Capital Expenditures</t>
  </si>
  <si>
    <t>EQUITY</t>
  </si>
  <si>
    <t>Required Draws</t>
  </si>
  <si>
    <t>Total Outstanding Debt</t>
  </si>
  <si>
    <t>Rate</t>
  </si>
  <si>
    <t>Asset Value of System</t>
  </si>
  <si>
    <t>VALUATION FACTORS</t>
  </si>
  <si>
    <t>PRESENT VALUE OF NETWORK</t>
  </si>
  <si>
    <t>Discount Rate</t>
  </si>
  <si>
    <t>Cash Flows During Construction</t>
  </si>
  <si>
    <t>Cash Flow From Operation</t>
  </si>
  <si>
    <t>Network Value</t>
  </si>
  <si>
    <t>Present Value of Network Terminal Value</t>
  </si>
  <si>
    <t xml:space="preserve">Total Net Value </t>
  </si>
  <si>
    <t>RETURN ON INVESTMENT</t>
  </si>
  <si>
    <t>Cash Flow fromOperations</t>
  </si>
  <si>
    <t>Terminal Value+</t>
  </si>
  <si>
    <t>Cash Flow</t>
  </si>
  <si>
    <t>Net Cash Flow</t>
  </si>
  <si>
    <t>IRR</t>
  </si>
  <si>
    <t>Terminal Value</t>
  </si>
  <si>
    <t>MIRR</t>
  </si>
  <si>
    <t>Finance Rate</t>
  </si>
  <si>
    <t>Reinvestment Rate</t>
  </si>
  <si>
    <t>Capitalization Rate</t>
  </si>
  <si>
    <t>`</t>
  </si>
  <si>
    <t>CUMULATIVE CASH FLOW FROM OPERATIONS</t>
  </si>
  <si>
    <t>ENDING DEBT BALANCE</t>
  </si>
  <si>
    <t>TOTAL</t>
  </si>
  <si>
    <t>OBJECTIVE IS TO HAVE A POSITIVE TOTAL BY YEAR 10</t>
  </si>
  <si>
    <t>DOES OPERATIONAL CASH FLOW CARRY NETWORK</t>
  </si>
  <si>
    <t>YES = 1</t>
  </si>
  <si>
    <t>YEAR 5</t>
  </si>
  <si>
    <t>YEAR 6</t>
  </si>
  <si>
    <t>YEAR 7</t>
  </si>
  <si>
    <t>NO = 0</t>
  </si>
  <si>
    <t>OBJECTIVE IS TO HAVE OPERATIONS CARRY THE NETWORK BY YEAR 5</t>
  </si>
  <si>
    <t>PRESENT VALUE</t>
  </si>
  <si>
    <t xml:space="preserve">  Discount Rate</t>
  </si>
  <si>
    <t xml:space="preserve">   Net Value of Network</t>
  </si>
  <si>
    <t xml:space="preserve">   Value per Subscriber</t>
  </si>
  <si>
    <t>OBJECTIVE IS TO CREATE A PRESENT VALUE OF $1750 OR MORE/SUBSCRIBER</t>
  </si>
  <si>
    <t>UNLEVERAGED RETURN ON INVESTMENT</t>
  </si>
  <si>
    <t>OBJECTIVE IS TO HAVE A IRR IN EXCESS OF 30%</t>
  </si>
  <si>
    <t>Year 6</t>
  </si>
  <si>
    <t>Year 7</t>
  </si>
  <si>
    <t>Year 8</t>
  </si>
  <si>
    <t>Year 9</t>
  </si>
  <si>
    <t>Year 10</t>
  </si>
  <si>
    <t>Residential Customers</t>
  </si>
  <si>
    <t>Percentage of Customers taking that service</t>
  </si>
  <si>
    <t>Take Rate after 3 years</t>
  </si>
  <si>
    <t>Take Rate after 4 years</t>
  </si>
  <si>
    <t>Take Rate after 5 years</t>
  </si>
  <si>
    <t>Annual Growth Rate Years 6 through 10</t>
  </si>
  <si>
    <t>Residential</t>
    <phoneticPr fontId="0" type="noConversion"/>
  </si>
  <si>
    <t>UC2B 20/100Internet CNS</t>
    <phoneticPr fontId="0" type="noConversion"/>
  </si>
  <si>
    <t>UC2B 30/100Internet CNS</t>
    <phoneticPr fontId="0" type="noConversion"/>
  </si>
  <si>
    <t>UC2B 40/100Internet CNS</t>
    <phoneticPr fontId="0" type="noConversion"/>
  </si>
  <si>
    <t>Business and Anchor Institution</t>
    <phoneticPr fontId="0" type="noConversion"/>
  </si>
  <si>
    <t>Private VLAN 10 Mbps</t>
    <phoneticPr fontId="0" type="noConversion"/>
  </si>
  <si>
    <t>Private VLAN 100 Mbps</t>
    <phoneticPr fontId="0" type="noConversion"/>
  </si>
  <si>
    <t>Private VLAN 1 Gbps</t>
    <phoneticPr fontId="0" type="noConversion"/>
  </si>
  <si>
    <t>Installation Fee</t>
  </si>
  <si>
    <t>Wholesale Customers</t>
  </si>
  <si>
    <t>Take Rate after 1 year</t>
  </si>
  <si>
    <t>Total Cummulative Customers</t>
  </si>
  <si>
    <t>Take Rate "Sanity Check"</t>
  </si>
  <si>
    <t>Years</t>
  </si>
  <si>
    <t>Business Customers</t>
  </si>
  <si>
    <t>Service #4</t>
  </si>
  <si>
    <t>Service #5</t>
  </si>
  <si>
    <t>Operating Expense Assumptions</t>
  </si>
  <si>
    <t>Oversubscription Rate, Residential</t>
  </si>
  <si>
    <t>Oversubscription Rate, Businesses</t>
  </si>
  <si>
    <t>Values</t>
  </si>
  <si>
    <t>Totals</t>
  </si>
  <si>
    <t>Outside Plant Cost per Customer Passed</t>
  </si>
  <si>
    <t>MDU Discount Factor</t>
  </si>
  <si>
    <t>Design Consulting</t>
  </si>
  <si>
    <t>In Building Wiring</t>
  </si>
  <si>
    <t>Adtran ONT device, 100M</t>
  </si>
  <si>
    <t>Adtran ONT device, 1G</t>
  </si>
  <si>
    <t>Capital Expense Assumptions, 3rd Year, if Expand</t>
  </si>
  <si>
    <t>Network and Access Equipment per Customer Lit, Starting in Year 3</t>
  </si>
  <si>
    <t>Total Customers Passed, Grant Funded</t>
  </si>
  <si>
    <t>New Customers Passed, Non-Grant, Year 3</t>
  </si>
  <si>
    <t>These numbers drive what take rates are received as part of the grant period; make sure these numbers reflect the number of customers expected after the first two years</t>
  </si>
  <si>
    <t>per customer PASSED (this was changed, as the initial model showed only per customer LIT, starting in year 3; assumes that the build will take two years</t>
  </si>
  <si>
    <t>Per Customer Lit</t>
  </si>
  <si>
    <t>Sub-Total Lit</t>
  </si>
  <si>
    <t>Total Passed and Lit</t>
  </si>
  <si>
    <t>Cumulative Cost Per Customer Lit</t>
  </si>
  <si>
    <t>Uncollectable Revenue Percentage</t>
  </si>
  <si>
    <t>Sources and Uses</t>
  </si>
  <si>
    <t xml:space="preserve">Revenue </t>
  </si>
  <si>
    <t>Capital Additions</t>
  </si>
  <si>
    <t>Attachment B2 (Middle Mile)</t>
  </si>
  <si>
    <t>Capital Expenses, New Passed</t>
  </si>
  <si>
    <t>Attachment B1 (Last Mile)</t>
  </si>
  <si>
    <t>Cost per Backhaul</t>
  </si>
  <si>
    <t>I think this is crazy high?, it was $150,000; I changed it to $50,000 as the base; they corrected me; keep it at $150000</t>
  </si>
  <si>
    <t>JULIE fiber locates (block groups), Base</t>
  </si>
  <si>
    <t>UC2B Network Engineers Base</t>
  </si>
  <si>
    <t>Annual Escalation</t>
  </si>
  <si>
    <t>Sales Churn</t>
  </si>
  <si>
    <t>Customer Care Cost per Customer</t>
  </si>
  <si>
    <t>Bill Generations Cost per Customer</t>
  </si>
  <si>
    <t>Loan Amounts</t>
  </si>
  <si>
    <t>Sources and Uses, line 26</t>
  </si>
  <si>
    <t>These numbers were not changed as the grant covered these costs</t>
  </si>
</sst>
</file>

<file path=xl/styles.xml><?xml version="1.0" encoding="utf-8"?>
<styleSheet xmlns="http://schemas.openxmlformats.org/spreadsheetml/2006/main">
  <numFmts count="1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&quot;$&quot;* #,##0.00_);_(&quot;$&quot;* \(#,##0.00\);_(&quot;$&quot;* &quot;-&quot;_);_(@_)"/>
    <numFmt numFmtId="166" formatCode="_(* #,##0_);_(* \(#,##0\);_(* &quot;-&quot;??_);_(@_)"/>
    <numFmt numFmtId="167" formatCode="&quot;$&quot;#,##0.00"/>
    <numFmt numFmtId="168" formatCode="0.0%"/>
    <numFmt numFmtId="169" formatCode="_(&quot;$&quot;* #,##0.000_);_(&quot;$&quot;* \(#,##0.000\);_(&quot;$&quot;* &quot;-&quot;???_);_(@_)"/>
    <numFmt numFmtId="170" formatCode="_(* #,##0.00_);_(* \(#,##0.00\);_(* &quot;-&quot;_);_(@_)"/>
  </numFmts>
  <fonts count="56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20"/>
      <color indexed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8"/>
      <color indexed="9"/>
      <name val="Arial"/>
      <family val="2"/>
    </font>
    <font>
      <sz val="10"/>
      <color indexed="9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i/>
      <sz val="10"/>
      <color theme="2" tint="-0.499984740745262"/>
      <name val="Arial"/>
      <family val="2"/>
    </font>
    <font>
      <i/>
      <sz val="11"/>
      <color theme="2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name val="Arial"/>
      <family val="2"/>
    </font>
    <font>
      <u val="singleAccounting"/>
      <sz val="10"/>
      <name val="Arial"/>
      <family val="2"/>
    </font>
    <font>
      <i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i/>
      <sz val="10"/>
      <color theme="0" tint="-0.34998626667073579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0"/>
      <color theme="0" tint="-0.249977111117893"/>
      <name val="Arial"/>
      <family val="2"/>
    </font>
    <font>
      <sz val="10"/>
      <color indexed="8"/>
      <name val="Arial"/>
      <family val="2"/>
    </font>
    <font>
      <sz val="10"/>
      <name val="Arial MT"/>
    </font>
    <font>
      <b/>
      <sz val="10"/>
      <color indexed="8"/>
      <name val="Arial"/>
      <family val="2"/>
    </font>
    <font>
      <u/>
      <sz val="10"/>
      <color indexed="8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indexed="8"/>
      <name val="Calibri"/>
      <family val="2"/>
    </font>
    <font>
      <sz val="8"/>
      <name val="Verdana"/>
      <family val="2"/>
    </font>
    <font>
      <b/>
      <sz val="24"/>
      <name val="P22 Eaglefeather Regular"/>
    </font>
    <font>
      <sz val="10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10"/>
      <name val="Arial"/>
      <family val="2"/>
    </font>
    <font>
      <b/>
      <i/>
      <u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lightHorizontal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C0C0C0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8" tint="0.79998168889431442"/>
        <bgColor indexed="64"/>
      </patternFill>
    </fill>
  </fills>
  <borders count="7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16">
    <xf numFmtId="0" fontId="0" fillId="0" borderId="0"/>
    <xf numFmtId="44" fontId="2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2" fillId="17" borderId="0" applyNumberFormat="0" applyBorder="0" applyAlignment="0" applyProtection="0"/>
    <xf numFmtId="0" fontId="43" fillId="0" borderId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744">
    <xf numFmtId="0" fontId="0" fillId="0" borderId="0" xfId="0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3" borderId="0" xfId="0" applyFill="1"/>
    <xf numFmtId="0" fontId="4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3" borderId="17" xfId="0" applyFill="1" applyBorder="1"/>
    <xf numFmtId="0" fontId="5" fillId="3" borderId="17" xfId="0" applyFont="1" applyFill="1" applyBorder="1" applyAlignment="1">
      <alignment horizontal="right"/>
    </xf>
    <xf numFmtId="0" fontId="0" fillId="3" borderId="0" xfId="0" applyFill="1" applyBorder="1"/>
    <xf numFmtId="0" fontId="5" fillId="0" borderId="12" xfId="2" applyFont="1" applyBorder="1" applyAlignment="1" applyProtection="1">
      <alignment horizontal="center"/>
      <protection hidden="1"/>
    </xf>
    <xf numFmtId="0" fontId="5" fillId="0" borderId="10" xfId="2" applyFont="1" applyBorder="1" applyAlignment="1" applyProtection="1">
      <alignment horizontal="center"/>
      <protection hidden="1"/>
    </xf>
    <xf numFmtId="0" fontId="11" fillId="3" borderId="0" xfId="2" applyFont="1" applyFill="1" applyAlignment="1" applyProtection="1">
      <alignment horizontal="right"/>
      <protection hidden="1"/>
    </xf>
    <xf numFmtId="0" fontId="4" fillId="3" borderId="0" xfId="2" applyFont="1" applyFill="1" applyBorder="1" applyAlignment="1" applyProtection="1">
      <alignment horizontal="right"/>
      <protection hidden="1"/>
    </xf>
    <xf numFmtId="0" fontId="6" fillId="3" borderId="0" xfId="2" applyFont="1" applyFill="1" applyBorder="1" applyAlignment="1" applyProtection="1">
      <alignment horizontal="right"/>
      <protection hidden="1"/>
    </xf>
    <xf numFmtId="0" fontId="8" fillId="3" borderId="0" xfId="2" applyFill="1" applyProtection="1">
      <protection hidden="1"/>
    </xf>
    <xf numFmtId="0" fontId="12" fillId="3" borderId="32" xfId="2" applyFont="1" applyFill="1" applyBorder="1" applyProtection="1">
      <protection hidden="1"/>
    </xf>
    <xf numFmtId="0" fontId="5" fillId="3" borderId="35" xfId="2" applyFont="1" applyFill="1" applyBorder="1" applyProtection="1">
      <protection hidden="1"/>
    </xf>
    <xf numFmtId="0" fontId="11" fillId="3" borderId="0" xfId="2" applyFont="1" applyFill="1" applyAlignment="1" applyProtection="1">
      <alignment shrinkToFit="1"/>
      <protection hidden="1"/>
    </xf>
    <xf numFmtId="0" fontId="14" fillId="3" borderId="0" xfId="2" applyFont="1" applyFill="1" applyProtection="1">
      <protection hidden="1"/>
    </xf>
    <xf numFmtId="0" fontId="8" fillId="3" borderId="19" xfId="2" applyFill="1" applyBorder="1" applyProtection="1">
      <protection hidden="1"/>
    </xf>
    <xf numFmtId="0" fontId="8" fillId="3" borderId="16" xfId="2" applyFill="1" applyBorder="1" applyProtection="1">
      <protection hidden="1"/>
    </xf>
    <xf numFmtId="42" fontId="8" fillId="3" borderId="21" xfId="2" applyNumberFormat="1" applyFill="1" applyBorder="1" applyProtection="1">
      <protection locked="0"/>
    </xf>
    <xf numFmtId="42" fontId="8" fillId="3" borderId="51" xfId="2" applyNumberFormat="1" applyFill="1" applyBorder="1" applyProtection="1">
      <protection locked="0"/>
    </xf>
    <xf numFmtId="0" fontId="8" fillId="3" borderId="27" xfId="2" applyFill="1" applyBorder="1" applyProtection="1">
      <protection hidden="1"/>
    </xf>
    <xf numFmtId="42" fontId="8" fillId="3" borderId="40" xfId="2" applyNumberFormat="1" applyFill="1" applyBorder="1" applyProtection="1">
      <protection hidden="1"/>
    </xf>
    <xf numFmtId="42" fontId="8" fillId="3" borderId="18" xfId="2" applyNumberFormat="1" applyFill="1" applyBorder="1" applyProtection="1">
      <protection hidden="1"/>
    </xf>
    <xf numFmtId="0" fontId="8" fillId="3" borderId="0" xfId="2" applyFill="1" applyBorder="1" applyProtection="1">
      <protection hidden="1"/>
    </xf>
    <xf numFmtId="1" fontId="8" fillId="3" borderId="19" xfId="2" applyNumberFormat="1" applyFill="1" applyBorder="1" applyProtection="1">
      <protection hidden="1"/>
    </xf>
    <xf numFmtId="42" fontId="8" fillId="3" borderId="19" xfId="2" applyNumberFormat="1" applyFill="1" applyBorder="1" applyProtection="1">
      <protection hidden="1"/>
    </xf>
    <xf numFmtId="0" fontId="8" fillId="3" borderId="25" xfId="2" applyFill="1" applyBorder="1" applyAlignment="1" applyProtection="1">
      <alignment horizontal="left"/>
      <protection hidden="1"/>
    </xf>
    <xf numFmtId="42" fontId="8" fillId="3" borderId="17" xfId="2" applyNumberFormat="1" applyFill="1" applyBorder="1" applyProtection="1">
      <protection hidden="1"/>
    </xf>
    <xf numFmtId="42" fontId="8" fillId="3" borderId="38" xfId="2" applyNumberFormat="1" applyFill="1" applyBorder="1" applyProtection="1">
      <protection hidden="1"/>
    </xf>
    <xf numFmtId="42" fontId="8" fillId="3" borderId="31" xfId="2" applyNumberFormat="1" applyFill="1" applyBorder="1" applyProtection="1">
      <protection hidden="1"/>
    </xf>
    <xf numFmtId="42" fontId="8" fillId="3" borderId="0" xfId="2" applyNumberFormat="1" applyFill="1" applyProtection="1">
      <protection hidden="1"/>
    </xf>
    <xf numFmtId="0" fontId="5" fillId="3" borderId="52" xfId="2" applyFont="1" applyFill="1" applyBorder="1" applyAlignment="1" applyProtection="1">
      <alignment horizontal="right"/>
      <protection hidden="1"/>
    </xf>
    <xf numFmtId="42" fontId="8" fillId="3" borderId="53" xfId="2" applyNumberFormat="1" applyFill="1" applyBorder="1" applyProtection="1">
      <protection hidden="1"/>
    </xf>
    <xf numFmtId="42" fontId="8" fillId="3" borderId="54" xfId="2" applyNumberFormat="1" applyFill="1" applyBorder="1" applyProtection="1">
      <protection hidden="1"/>
    </xf>
    <xf numFmtId="0" fontId="5" fillId="3" borderId="13" xfId="2" applyFont="1" applyFill="1" applyBorder="1" applyAlignment="1" applyProtection="1">
      <alignment horizontal="center"/>
      <protection hidden="1"/>
    </xf>
    <xf numFmtId="0" fontId="5" fillId="3" borderId="14" xfId="2" applyFont="1" applyFill="1" applyBorder="1" applyAlignment="1" applyProtection="1">
      <alignment horizontal="center"/>
      <protection hidden="1"/>
    </xf>
    <xf numFmtId="0" fontId="5" fillId="3" borderId="15" xfId="2" applyFont="1" applyFill="1" applyBorder="1" applyAlignment="1" applyProtection="1">
      <alignment horizontal="center"/>
      <protection hidden="1"/>
    </xf>
    <xf numFmtId="42" fontId="7" fillId="3" borderId="19" xfId="2" applyNumberFormat="1" applyFont="1" applyFill="1" applyBorder="1" applyProtection="1">
      <protection hidden="1"/>
    </xf>
    <xf numFmtId="42" fontId="8" fillId="3" borderId="19" xfId="2" applyNumberFormat="1" applyFill="1" applyBorder="1" applyProtection="1">
      <protection locked="0"/>
    </xf>
    <xf numFmtId="42" fontId="8" fillId="3" borderId="36" xfId="2" applyNumberFormat="1" applyFill="1" applyBorder="1" applyProtection="1">
      <protection locked="0"/>
    </xf>
    <xf numFmtId="0" fontId="8" fillId="3" borderId="31" xfId="2" applyFill="1" applyBorder="1" applyProtection="1">
      <protection hidden="1"/>
    </xf>
    <xf numFmtId="0" fontId="8" fillId="3" borderId="45" xfId="2" applyFill="1" applyBorder="1" applyProtection="1">
      <protection hidden="1"/>
    </xf>
    <xf numFmtId="42" fontId="8" fillId="3" borderId="25" xfId="2" applyNumberFormat="1" applyFill="1" applyBorder="1" applyProtection="1">
      <protection locked="0"/>
    </xf>
    <xf numFmtId="42" fontId="8" fillId="3" borderId="29" xfId="2" applyNumberFormat="1" applyFill="1" applyBorder="1" applyProtection="1">
      <protection locked="0"/>
    </xf>
    <xf numFmtId="1" fontId="8" fillId="3" borderId="45" xfId="2" applyNumberFormat="1" applyFill="1" applyBorder="1" applyProtection="1">
      <protection hidden="1"/>
    </xf>
    <xf numFmtId="42" fontId="8" fillId="3" borderId="45" xfId="2" applyNumberFormat="1" applyFill="1" applyBorder="1" applyProtection="1">
      <protection hidden="1"/>
    </xf>
    <xf numFmtId="42" fontId="8" fillId="3" borderId="0" xfId="2" applyNumberFormat="1" applyFill="1" applyBorder="1" applyProtection="1">
      <protection hidden="1"/>
    </xf>
    <xf numFmtId="42" fontId="8" fillId="3" borderId="41" xfId="2" applyNumberFormat="1" applyFill="1" applyBorder="1" applyProtection="1">
      <protection hidden="1"/>
    </xf>
    <xf numFmtId="42" fontId="8" fillId="3" borderId="27" xfId="2" applyNumberFormat="1" applyFill="1" applyBorder="1" applyProtection="1">
      <protection hidden="1"/>
    </xf>
    <xf numFmtId="42" fontId="8" fillId="3" borderId="52" xfId="2" applyNumberFormat="1" applyFill="1" applyBorder="1" applyProtection="1">
      <protection hidden="1"/>
    </xf>
    <xf numFmtId="0" fontId="5" fillId="3" borderId="11" xfId="2" applyFont="1" applyFill="1" applyBorder="1" applyAlignment="1" applyProtection="1">
      <alignment horizontal="center"/>
      <protection hidden="1"/>
    </xf>
    <xf numFmtId="42" fontId="7" fillId="3" borderId="45" xfId="2" applyNumberFormat="1" applyFont="1" applyFill="1" applyBorder="1" applyProtection="1">
      <protection hidden="1"/>
    </xf>
    <xf numFmtId="42" fontId="8" fillId="3" borderId="45" xfId="2" applyNumberFormat="1" applyFill="1" applyBorder="1" applyProtection="1">
      <protection locked="0"/>
    </xf>
    <xf numFmtId="42" fontId="8" fillId="3" borderId="20" xfId="2" applyNumberFormat="1" applyFill="1" applyBorder="1" applyProtection="1">
      <protection locked="0"/>
    </xf>
    <xf numFmtId="0" fontId="8" fillId="3" borderId="48" xfId="2" applyFill="1" applyBorder="1" applyProtection="1">
      <protection hidden="1"/>
    </xf>
    <xf numFmtId="0" fontId="8" fillId="3" borderId="47" xfId="2" applyFill="1" applyBorder="1" applyProtection="1">
      <protection hidden="1"/>
    </xf>
    <xf numFmtId="0" fontId="8" fillId="3" borderId="36" xfId="2" applyFill="1" applyBorder="1" applyProtection="1">
      <protection hidden="1"/>
    </xf>
    <xf numFmtId="0" fontId="8" fillId="3" borderId="25" xfId="2" applyFill="1" applyBorder="1" applyProtection="1">
      <protection hidden="1"/>
    </xf>
    <xf numFmtId="0" fontId="8" fillId="3" borderId="37" xfId="2" applyFill="1" applyBorder="1" applyProtection="1">
      <protection hidden="1"/>
    </xf>
    <xf numFmtId="0" fontId="8" fillId="3" borderId="28" xfId="2" applyFill="1" applyBorder="1" applyProtection="1">
      <protection hidden="1"/>
    </xf>
    <xf numFmtId="0" fontId="8" fillId="3" borderId="38" xfId="2" applyFill="1" applyBorder="1" applyProtection="1">
      <protection hidden="1"/>
    </xf>
    <xf numFmtId="0" fontId="8" fillId="3" borderId="48" xfId="2" applyFill="1" applyBorder="1" applyAlignment="1" applyProtection="1">
      <alignment horizontal="right"/>
      <protection hidden="1"/>
    </xf>
    <xf numFmtId="0" fontId="8" fillId="3" borderId="35" xfId="2" applyFill="1" applyBorder="1" applyProtection="1">
      <protection hidden="1"/>
    </xf>
    <xf numFmtId="0" fontId="9" fillId="3" borderId="35" xfId="2" applyFont="1" applyFill="1" applyBorder="1" applyProtection="1">
      <protection hidden="1"/>
    </xf>
    <xf numFmtId="0" fontId="8" fillId="3" borderId="39" xfId="2" applyFill="1" applyBorder="1" applyProtection="1">
      <protection hidden="1"/>
    </xf>
    <xf numFmtId="0" fontId="8" fillId="3" borderId="29" xfId="2" applyFill="1" applyBorder="1" applyProtection="1">
      <protection hidden="1"/>
    </xf>
    <xf numFmtId="0" fontId="8" fillId="3" borderId="45" xfId="2" applyFill="1" applyBorder="1" applyAlignment="1" applyProtection="1">
      <alignment horizontal="right"/>
      <protection hidden="1"/>
    </xf>
    <xf numFmtId="0" fontId="8" fillId="3" borderId="53" xfId="2" applyFill="1" applyBorder="1" applyProtection="1">
      <protection hidden="1"/>
    </xf>
    <xf numFmtId="0" fontId="5" fillId="3" borderId="55" xfId="2" applyFont="1" applyFill="1" applyBorder="1" applyAlignment="1" applyProtection="1">
      <alignment horizontal="right"/>
      <protection hidden="1"/>
    </xf>
    <xf numFmtId="0" fontId="8" fillId="3" borderId="56" xfId="2" applyFill="1" applyBorder="1" applyProtection="1">
      <protection hidden="1"/>
    </xf>
    <xf numFmtId="0" fontId="12" fillId="3" borderId="35" xfId="2" applyFont="1" applyFill="1" applyBorder="1" applyProtection="1">
      <protection hidden="1"/>
    </xf>
    <xf numFmtId="0" fontId="7" fillId="3" borderId="45" xfId="2" applyFont="1" applyFill="1" applyBorder="1" applyAlignment="1" applyProtection="1">
      <alignment horizontal="left"/>
      <protection hidden="1"/>
    </xf>
    <xf numFmtId="0" fontId="5" fillId="3" borderId="48" xfId="2" applyFont="1" applyFill="1" applyBorder="1" applyAlignment="1" applyProtection="1">
      <alignment horizontal="right"/>
      <protection hidden="1"/>
    </xf>
    <xf numFmtId="0" fontId="5" fillId="3" borderId="38" xfId="2" applyFont="1" applyFill="1" applyBorder="1" applyProtection="1">
      <protection hidden="1"/>
    </xf>
    <xf numFmtId="0" fontId="8" fillId="3" borderId="40" xfId="2" applyFill="1" applyBorder="1" applyProtection="1">
      <protection hidden="1"/>
    </xf>
    <xf numFmtId="0" fontId="8" fillId="3" borderId="41" xfId="2" applyFill="1" applyBorder="1" applyProtection="1">
      <protection hidden="1"/>
    </xf>
    <xf numFmtId="0" fontId="12" fillId="0" borderId="9" xfId="2" applyFont="1" applyBorder="1" applyProtection="1">
      <protection hidden="1"/>
    </xf>
    <xf numFmtId="0" fontId="8" fillId="3" borderId="11" xfId="2" applyFill="1" applyBorder="1" applyProtection="1">
      <protection hidden="1"/>
    </xf>
    <xf numFmtId="0" fontId="8" fillId="3" borderId="57" xfId="2" applyFill="1" applyBorder="1" applyProtection="1">
      <protection hidden="1"/>
    </xf>
    <xf numFmtId="0" fontId="5" fillId="3" borderId="53" xfId="2" applyFont="1" applyFill="1" applyBorder="1" applyProtection="1">
      <protection hidden="1"/>
    </xf>
    <xf numFmtId="0" fontId="0" fillId="3" borderId="16" xfId="0" applyFill="1" applyBorder="1"/>
    <xf numFmtId="42" fontId="5" fillId="3" borderId="18" xfId="1" applyNumberFormat="1" applyFont="1" applyFill="1" applyBorder="1"/>
    <xf numFmtId="0" fontId="0" fillId="3" borderId="32" xfId="0" applyFill="1" applyBorder="1"/>
    <xf numFmtId="0" fontId="0" fillId="3" borderId="33" xfId="0" applyFill="1" applyBorder="1"/>
    <xf numFmtId="42" fontId="8" fillId="3" borderId="34" xfId="1" applyNumberFormat="1" applyFont="1" applyFill="1" applyBorder="1"/>
    <xf numFmtId="42" fontId="8" fillId="3" borderId="19" xfId="1" applyNumberFormat="1" applyFont="1" applyFill="1" applyBorder="1"/>
    <xf numFmtId="0" fontId="8" fillId="3" borderId="36" xfId="0" applyFont="1" applyFill="1" applyBorder="1"/>
    <xf numFmtId="0" fontId="8" fillId="3" borderId="20" xfId="0" applyFont="1" applyFill="1" applyBorder="1"/>
    <xf numFmtId="41" fontId="8" fillId="3" borderId="21" xfId="1" applyNumberFormat="1" applyFont="1" applyFill="1" applyBorder="1"/>
    <xf numFmtId="0" fontId="0" fillId="3" borderId="35" xfId="0" applyFill="1" applyBorder="1"/>
    <xf numFmtId="41" fontId="8" fillId="3" borderId="24" xfId="1" applyNumberFormat="1" applyFont="1" applyFill="1" applyBorder="1"/>
    <xf numFmtId="41" fontId="8" fillId="3" borderId="0" xfId="1" applyNumberFormat="1" applyFont="1" applyFill="1" applyBorder="1"/>
    <xf numFmtId="0" fontId="0" fillId="3" borderId="36" xfId="0" applyFill="1" applyBorder="1"/>
    <xf numFmtId="41" fontId="8" fillId="3" borderId="20" xfId="1" applyNumberFormat="1" applyFont="1" applyFill="1" applyBorder="1"/>
    <xf numFmtId="0" fontId="0" fillId="3" borderId="20" xfId="0" applyFill="1" applyBorder="1"/>
    <xf numFmtId="0" fontId="0" fillId="3" borderId="26" xfId="0" applyFill="1" applyBorder="1"/>
    <xf numFmtId="0" fontId="9" fillId="3" borderId="36" xfId="0" applyFont="1" applyFill="1" applyBorder="1"/>
    <xf numFmtId="0" fontId="9" fillId="3" borderId="20" xfId="0" applyFont="1" applyFill="1" applyBorder="1"/>
    <xf numFmtId="0" fontId="0" fillId="3" borderId="37" xfId="0" applyFill="1" applyBorder="1"/>
    <xf numFmtId="41" fontId="8" fillId="3" borderId="18" xfId="1" applyNumberFormat="1" applyFont="1" applyFill="1" applyBorder="1"/>
    <xf numFmtId="0" fontId="0" fillId="3" borderId="38" xfId="0" applyFill="1" applyBorder="1"/>
    <xf numFmtId="0" fontId="0" fillId="3" borderId="27" xfId="0" applyFill="1" applyBorder="1"/>
    <xf numFmtId="0" fontId="5" fillId="3" borderId="27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42" fontId="5" fillId="3" borderId="19" xfId="1" applyNumberFormat="1" applyFont="1" applyFill="1" applyBorder="1"/>
    <xf numFmtId="0" fontId="0" fillId="3" borderId="19" xfId="0" applyFill="1" applyBorder="1"/>
    <xf numFmtId="0" fontId="0" fillId="3" borderId="25" xfId="0" applyFill="1" applyBorder="1"/>
    <xf numFmtId="41" fontId="0" fillId="3" borderId="21" xfId="0" applyNumberFormat="1" applyFill="1" applyBorder="1"/>
    <xf numFmtId="0" fontId="0" fillId="3" borderId="28" xfId="0" applyFill="1" applyBorder="1"/>
    <xf numFmtId="0" fontId="0" fillId="3" borderId="39" xfId="0" applyFill="1" applyBorder="1"/>
    <xf numFmtId="41" fontId="0" fillId="3" borderId="18" xfId="0" applyNumberFormat="1" applyFill="1" applyBorder="1"/>
    <xf numFmtId="0" fontId="0" fillId="3" borderId="0" xfId="0" applyFill="1" applyBorder="1" applyAlignment="1">
      <alignment horizontal="right"/>
    </xf>
    <xf numFmtId="0" fontId="0" fillId="3" borderId="37" xfId="0" applyFill="1" applyBorder="1" applyProtection="1">
      <protection hidden="1"/>
    </xf>
    <xf numFmtId="0" fontId="0" fillId="3" borderId="26" xfId="0" applyFill="1" applyBorder="1" applyProtection="1">
      <protection hidden="1"/>
    </xf>
    <xf numFmtId="0" fontId="7" fillId="3" borderId="29" xfId="0" applyFont="1" applyFill="1" applyBorder="1" applyAlignment="1">
      <alignment shrinkToFit="1"/>
    </xf>
    <xf numFmtId="42" fontId="7" fillId="3" borderId="18" xfId="0" applyNumberFormat="1" applyFont="1" applyFill="1" applyBorder="1"/>
    <xf numFmtId="0" fontId="0" fillId="3" borderId="40" xfId="0" applyFill="1" applyBorder="1"/>
    <xf numFmtId="0" fontId="5" fillId="3" borderId="41" xfId="0" applyFont="1" applyFill="1" applyBorder="1" applyAlignment="1">
      <alignment horizontal="right"/>
    </xf>
    <xf numFmtId="0" fontId="15" fillId="3" borderId="36" xfId="2" applyFont="1" applyFill="1" applyBorder="1" applyProtection="1">
      <protection hidden="1"/>
    </xf>
    <xf numFmtId="0" fontId="15" fillId="3" borderId="25" xfId="2" applyFont="1" applyFill="1" applyBorder="1" applyProtection="1">
      <protection hidden="1"/>
    </xf>
    <xf numFmtId="0" fontId="16" fillId="3" borderId="25" xfId="0" applyFont="1" applyFill="1" applyBorder="1"/>
    <xf numFmtId="164" fontId="8" fillId="3" borderId="19" xfId="3" applyNumberFormat="1" applyFont="1" applyFill="1" applyBorder="1" applyProtection="1"/>
    <xf numFmtId="164" fontId="8" fillId="3" borderId="45" xfId="3" applyNumberFormat="1" applyFont="1" applyFill="1" applyBorder="1" applyProtection="1"/>
    <xf numFmtId="164" fontId="4" fillId="3" borderId="19" xfId="3" applyNumberFormat="1" applyFont="1" applyFill="1" applyBorder="1" applyProtection="1"/>
    <xf numFmtId="164" fontId="4" fillId="3" borderId="45" xfId="3" applyNumberFormat="1" applyFont="1" applyFill="1" applyBorder="1" applyProtection="1"/>
    <xf numFmtId="0" fontId="8" fillId="3" borderId="35" xfId="2" applyFont="1" applyFill="1" applyBorder="1" applyProtection="1">
      <protection hidden="1"/>
    </xf>
    <xf numFmtId="42" fontId="8" fillId="3" borderId="19" xfId="3" applyNumberFormat="1" applyFont="1" applyFill="1" applyBorder="1" applyProtection="1"/>
    <xf numFmtId="42" fontId="8" fillId="3" borderId="45" xfId="3" applyNumberFormat="1" applyFont="1" applyFill="1" applyBorder="1" applyProtection="1"/>
    <xf numFmtId="0" fontId="5" fillId="3" borderId="42" xfId="2" applyFont="1" applyFill="1" applyBorder="1" applyAlignment="1" applyProtection="1">
      <alignment horizontal="center"/>
      <protection hidden="1"/>
    </xf>
    <xf numFmtId="0" fontId="5" fillId="3" borderId="2" xfId="2" applyFont="1" applyFill="1" applyBorder="1" applyAlignment="1" applyProtection="1">
      <alignment horizontal="center"/>
      <protection hidden="1"/>
    </xf>
    <xf numFmtId="0" fontId="8" fillId="3" borderId="34" xfId="2" applyFill="1" applyBorder="1" applyProtection="1">
      <protection hidden="1"/>
    </xf>
    <xf numFmtId="42" fontId="8" fillId="3" borderId="46" xfId="2" applyNumberFormat="1" applyFill="1" applyBorder="1" applyProtection="1">
      <protection locked="0"/>
    </xf>
    <xf numFmtId="42" fontId="8" fillId="3" borderId="46" xfId="3" applyNumberFormat="1" applyFont="1" applyFill="1" applyBorder="1" applyProtection="1"/>
    <xf numFmtId="0" fontId="8" fillId="3" borderId="37" xfId="2" applyFont="1" applyFill="1" applyBorder="1" applyProtection="1">
      <protection hidden="1"/>
    </xf>
    <xf numFmtId="0" fontId="8" fillId="3" borderId="40" xfId="2" applyFont="1" applyFill="1" applyBorder="1" applyProtection="1">
      <protection hidden="1"/>
    </xf>
    <xf numFmtId="42" fontId="8" fillId="3" borderId="18" xfId="3" applyNumberFormat="1" applyFont="1" applyFill="1" applyBorder="1" applyProtection="1"/>
    <xf numFmtId="42" fontId="8" fillId="3" borderId="17" xfId="3" applyNumberFormat="1" applyFont="1" applyFill="1" applyBorder="1" applyProtection="1"/>
    <xf numFmtId="0" fontId="5" fillId="3" borderId="38" xfId="2" applyFont="1" applyFill="1" applyBorder="1" applyAlignment="1" applyProtection="1">
      <alignment horizontal="right"/>
      <protection hidden="1"/>
    </xf>
    <xf numFmtId="0" fontId="8" fillId="3" borderId="46" xfId="2" applyFont="1" applyFill="1" applyBorder="1" applyProtection="1">
      <protection hidden="1"/>
    </xf>
    <xf numFmtId="42" fontId="8" fillId="3" borderId="28" xfId="2" applyNumberFormat="1" applyFill="1" applyBorder="1" applyProtection="1">
      <protection locked="0"/>
    </xf>
    <xf numFmtId="0" fontId="5" fillId="3" borderId="31" xfId="2" applyFont="1" applyFill="1" applyBorder="1" applyAlignment="1" applyProtection="1">
      <alignment horizontal="right"/>
      <protection hidden="1"/>
    </xf>
    <xf numFmtId="0" fontId="8" fillId="3" borderId="21" xfId="2" applyFill="1" applyBorder="1" applyProtection="1">
      <protection hidden="1"/>
    </xf>
    <xf numFmtId="0" fontId="8" fillId="3" borderId="46" xfId="2" applyFill="1" applyBorder="1" applyProtection="1">
      <protection hidden="1"/>
    </xf>
    <xf numFmtId="42" fontId="8" fillId="3" borderId="45" xfId="2" applyNumberFormat="1" applyFill="1" applyBorder="1" applyProtection="1"/>
    <xf numFmtId="42" fontId="8" fillId="3" borderId="19" xfId="2" applyNumberFormat="1" applyFill="1" applyBorder="1" applyProtection="1"/>
    <xf numFmtId="42" fontId="8" fillId="3" borderId="28" xfId="3" applyNumberFormat="1" applyFill="1" applyBorder="1" applyProtection="1"/>
    <xf numFmtId="42" fontId="8" fillId="3" borderId="46" xfId="3" applyNumberFormat="1" applyFill="1" applyBorder="1" applyProtection="1"/>
    <xf numFmtId="42" fontId="8" fillId="3" borderId="28" xfId="3" applyNumberFormat="1" applyFont="1" applyFill="1" applyBorder="1" applyProtection="1"/>
    <xf numFmtId="0" fontId="8" fillId="3" borderId="18" xfId="2" applyFill="1" applyBorder="1" applyProtection="1">
      <protection hidden="1"/>
    </xf>
    <xf numFmtId="42" fontId="8" fillId="3" borderId="19" xfId="3" applyNumberFormat="1" applyFill="1" applyBorder="1" applyProtection="1"/>
    <xf numFmtId="42" fontId="8" fillId="3" borderId="45" xfId="3" applyNumberFormat="1" applyFill="1" applyBorder="1" applyProtection="1"/>
    <xf numFmtId="42" fontId="8" fillId="3" borderId="30" xfId="3" applyNumberFormat="1" applyFill="1" applyBorder="1" applyProtection="1"/>
    <xf numFmtId="42" fontId="13" fillId="3" borderId="30" xfId="3" applyNumberFormat="1" applyFont="1" applyFill="1" applyBorder="1" applyProtection="1"/>
    <xf numFmtId="0" fontId="5" fillId="3" borderId="49" xfId="2" applyFont="1" applyFill="1" applyBorder="1" applyAlignment="1" applyProtection="1">
      <alignment horizontal="right"/>
      <protection hidden="1"/>
    </xf>
    <xf numFmtId="42" fontId="5" fillId="3" borderId="50" xfId="3" applyNumberFormat="1" applyFont="1" applyFill="1" applyBorder="1" applyProtection="1"/>
    <xf numFmtId="0" fontId="0" fillId="3" borderId="47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/>
    <xf numFmtId="10" fontId="0" fillId="4" borderId="0" xfId="0" applyNumberFormat="1" applyFill="1" applyBorder="1"/>
    <xf numFmtId="0" fontId="5" fillId="0" borderId="0" xfId="0" applyFont="1"/>
    <xf numFmtId="41" fontId="0" fillId="0" borderId="0" xfId="0" applyNumberFormat="1"/>
    <xf numFmtId="1" fontId="0" fillId="0" borderId="0" xfId="0" applyNumberFormat="1" applyFill="1"/>
    <xf numFmtId="10" fontId="0" fillId="0" borderId="0" xfId="0" applyNumberFormat="1"/>
    <xf numFmtId="0" fontId="18" fillId="0" borderId="0" xfId="0" applyFont="1" applyAlignment="1">
      <alignment horizontal="center"/>
    </xf>
    <xf numFmtId="43" fontId="0" fillId="0" borderId="0" xfId="4" applyFont="1"/>
    <xf numFmtId="8" fontId="0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5" fontId="0" fillId="0" borderId="0" xfId="0" applyNumberFormat="1"/>
    <xf numFmtId="165" fontId="0" fillId="0" borderId="0" xfId="4" applyNumberFormat="1" applyFont="1"/>
    <xf numFmtId="8" fontId="0" fillId="0" borderId="0" xfId="0" applyNumberFormat="1"/>
    <xf numFmtId="43" fontId="0" fillId="0" borderId="0" xfId="0" applyNumberFormat="1"/>
    <xf numFmtId="164" fontId="19" fillId="0" borderId="0" xfId="3" applyNumberFormat="1" applyFont="1"/>
    <xf numFmtId="42" fontId="0" fillId="0" borderId="0" xfId="0" applyNumberFormat="1"/>
    <xf numFmtId="42" fontId="19" fillId="0" borderId="0" xfId="3" applyNumberFormat="1" applyFont="1"/>
    <xf numFmtId="0" fontId="0" fillId="5" borderId="0" xfId="0" applyFill="1" applyAlignment="1">
      <alignment horizontal="center"/>
    </xf>
    <xf numFmtId="41" fontId="0" fillId="4" borderId="0" xfId="0" applyNumberFormat="1" applyFill="1" applyBorder="1"/>
    <xf numFmtId="42" fontId="0" fillId="4" borderId="0" xfId="0" applyNumberFormat="1" applyFill="1" applyBorder="1"/>
    <xf numFmtId="0" fontId="8" fillId="0" borderId="0" xfId="0" applyFont="1" applyBorder="1" applyAlignment="1">
      <alignment horizontal="right"/>
    </xf>
    <xf numFmtId="41" fontId="8" fillId="3" borderId="46" xfId="2" applyNumberFormat="1" applyFill="1" applyBorder="1" applyProtection="1">
      <protection locked="0"/>
    </xf>
    <xf numFmtId="0" fontId="20" fillId="0" borderId="0" xfId="0" applyFont="1"/>
    <xf numFmtId="0" fontId="0" fillId="0" borderId="0" xfId="0" applyFont="1"/>
    <xf numFmtId="42" fontId="0" fillId="0" borderId="0" xfId="0" applyNumberFormat="1" applyFill="1" applyBorder="1"/>
    <xf numFmtId="0" fontId="0" fillId="0" borderId="0" xfId="0" applyAlignment="1">
      <alignment horizontal="right" indent="1"/>
    </xf>
    <xf numFmtId="0" fontId="0" fillId="0" borderId="0" xfId="0" applyAlignment="1"/>
    <xf numFmtId="0" fontId="0" fillId="0" borderId="0" xfId="0" applyFont="1" applyAlignment="1">
      <alignment horizontal="right"/>
    </xf>
    <xf numFmtId="42" fontId="21" fillId="4" borderId="0" xfId="0" applyNumberFormat="1" applyFont="1" applyFill="1" applyBorder="1"/>
    <xf numFmtId="41" fontId="21" fillId="4" borderId="0" xfId="0" applyNumberFormat="1" applyFont="1" applyFill="1" applyBorder="1"/>
    <xf numFmtId="41" fontId="0" fillId="0" borderId="0" xfId="0" applyNumberFormat="1" applyFill="1" applyBorder="1"/>
    <xf numFmtId="0" fontId="0" fillId="6" borderId="0" xfId="0" applyFill="1"/>
    <xf numFmtId="0" fontId="0" fillId="0" borderId="0" xfId="0" applyFill="1"/>
    <xf numFmtId="42" fontId="0" fillId="6" borderId="0" xfId="0" applyNumberFormat="1" applyFill="1"/>
    <xf numFmtId="42" fontId="0" fillId="0" borderId="0" xfId="0" applyNumberFormat="1" applyFill="1"/>
    <xf numFmtId="41" fontId="21" fillId="6" borderId="17" xfId="0" applyNumberFormat="1" applyFont="1" applyFill="1" applyBorder="1"/>
    <xf numFmtId="0" fontId="0" fillId="0" borderId="0" xfId="0" applyFill="1" applyAlignment="1">
      <alignment horizontal="right"/>
    </xf>
    <xf numFmtId="41" fontId="0" fillId="6" borderId="0" xfId="0" applyNumberFormat="1" applyFill="1"/>
    <xf numFmtId="41" fontId="0" fillId="0" borderId="0" xfId="0" applyNumberFormat="1" applyFill="1"/>
    <xf numFmtId="0" fontId="0" fillId="7" borderId="0" xfId="0" applyFill="1"/>
    <xf numFmtId="42" fontId="0" fillId="0" borderId="0" xfId="0" applyNumberFormat="1" applyAlignment="1">
      <alignment horizontal="left"/>
    </xf>
    <xf numFmtId="10" fontId="0" fillId="6" borderId="0" xfId="0" applyNumberFormat="1" applyFill="1"/>
    <xf numFmtId="44" fontId="0" fillId="0" borderId="0" xfId="0" applyNumberFormat="1"/>
    <xf numFmtId="10" fontId="0" fillId="0" borderId="0" xfId="0" applyNumberFormat="1" applyFill="1"/>
    <xf numFmtId="0" fontId="22" fillId="3" borderId="46" xfId="2" applyFont="1" applyFill="1" applyBorder="1" applyProtection="1">
      <protection hidden="1"/>
    </xf>
    <xf numFmtId="10" fontId="0" fillId="0" borderId="0" xfId="0" applyNumberFormat="1" applyFill="1" applyBorder="1" applyAlignment="1">
      <alignment horizontal="right"/>
    </xf>
    <xf numFmtId="44" fontId="0" fillId="6" borderId="0" xfId="0" applyNumberFormat="1" applyFill="1"/>
    <xf numFmtId="0" fontId="23" fillId="3" borderId="37" xfId="0" applyFont="1" applyFill="1" applyBorder="1"/>
    <xf numFmtId="17" fontId="0" fillId="0" borderId="0" xfId="0" applyNumberFormat="1" applyFill="1" applyAlignment="1">
      <alignment horizontal="center"/>
    </xf>
    <xf numFmtId="41" fontId="0" fillId="4" borderId="0" xfId="0" applyNumberFormat="1" applyFont="1" applyFill="1" applyBorder="1"/>
    <xf numFmtId="0" fontId="9" fillId="3" borderId="28" xfId="0" applyFont="1" applyFill="1" applyBorder="1"/>
    <xf numFmtId="0" fontId="14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14" fillId="0" borderId="45" xfId="0" applyFont="1" applyBorder="1" applyAlignment="1">
      <alignment wrapText="1"/>
    </xf>
    <xf numFmtId="0" fontId="0" fillId="0" borderId="41" xfId="0" applyBorder="1" applyAlignment="1">
      <alignment wrapText="1"/>
    </xf>
    <xf numFmtId="0" fontId="8" fillId="0" borderId="31" xfId="0" applyFont="1" applyBorder="1" applyAlignment="1">
      <alignment horizontal="center" vertical="center"/>
    </xf>
    <xf numFmtId="0" fontId="8" fillId="8" borderId="33" xfId="0" applyFont="1" applyFill="1" applyBorder="1" applyAlignment="1">
      <alignment horizontal="right" wrapText="1"/>
    </xf>
    <xf numFmtId="0" fontId="8" fillId="8" borderId="0" xfId="0" applyFont="1" applyFill="1" applyAlignment="1">
      <alignment horizontal="right" wrapText="1"/>
    </xf>
    <xf numFmtId="0" fontId="8" fillId="8" borderId="0" xfId="0" applyFont="1" applyFill="1"/>
    <xf numFmtId="0" fontId="8" fillId="8" borderId="0" xfId="0" applyFont="1" applyFill="1" applyAlignment="1">
      <alignment horizontal="center"/>
    </xf>
    <xf numFmtId="0" fontId="8" fillId="8" borderId="47" xfId="0" applyFont="1" applyFill="1" applyBorder="1" applyAlignment="1">
      <alignment horizontal="center"/>
    </xf>
    <xf numFmtId="0" fontId="8" fillId="0" borderId="0" xfId="0" applyFont="1" applyAlignment="1">
      <alignment horizontal="right" vertical="center" wrapText="1"/>
    </xf>
    <xf numFmtId="0" fontId="8" fillId="0" borderId="48" xfId="0" applyFont="1" applyBorder="1" applyAlignment="1">
      <alignment horizontal="center" vertical="center"/>
    </xf>
    <xf numFmtId="0" fontId="8" fillId="0" borderId="17" xfId="0" applyFont="1" applyBorder="1" applyAlignment="1">
      <alignment horizontal="right" vertical="center" wrapText="1"/>
    </xf>
    <xf numFmtId="0" fontId="8" fillId="0" borderId="41" xfId="0" applyFont="1" applyBorder="1" applyAlignment="1">
      <alignment horizontal="right" vertical="center" wrapText="1"/>
    </xf>
    <xf numFmtId="0" fontId="8" fillId="8" borderId="45" xfId="0" applyFont="1" applyFill="1" applyBorder="1" applyAlignment="1">
      <alignment horizontal="center"/>
    </xf>
    <xf numFmtId="0" fontId="8" fillId="0" borderId="31" xfId="0" applyFont="1" applyBorder="1" applyAlignme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0" fillId="0" borderId="45" xfId="0" applyBorder="1" applyAlignment="1">
      <alignment wrapText="1"/>
    </xf>
    <xf numFmtId="0" fontId="8" fillId="8" borderId="0" xfId="0" applyFont="1" applyFill="1" applyBorder="1" applyAlignment="1">
      <alignment horizontal="right" wrapText="1"/>
    </xf>
    <xf numFmtId="0" fontId="8" fillId="9" borderId="0" xfId="0" applyFont="1" applyFill="1" applyAlignment="1">
      <alignment horizontal="right" wrapText="1"/>
    </xf>
    <xf numFmtId="0" fontId="8" fillId="9" borderId="0" xfId="0" applyFont="1" applyFill="1"/>
    <xf numFmtId="0" fontId="8" fillId="9" borderId="0" xfId="0" applyFont="1" applyFill="1" applyAlignment="1">
      <alignment horizontal="center"/>
    </xf>
    <xf numFmtId="0" fontId="8" fillId="9" borderId="45" xfId="0" applyFont="1" applyFill="1" applyBorder="1" applyAlignment="1">
      <alignment horizontal="center"/>
    </xf>
    <xf numFmtId="0" fontId="8" fillId="0" borderId="33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1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8" fillId="8" borderId="19" xfId="0" applyFont="1" applyFill="1" applyBorder="1"/>
    <xf numFmtId="0" fontId="8" fillId="8" borderId="35" xfId="0" applyFont="1" applyFill="1" applyBorder="1" applyAlignment="1">
      <alignment horizontal="center"/>
    </xf>
    <xf numFmtId="0" fontId="8" fillId="8" borderId="0" xfId="0" applyFont="1" applyFill="1" applyBorder="1" applyAlignment="1">
      <alignment horizontal="center"/>
    </xf>
    <xf numFmtId="0" fontId="8" fillId="10" borderId="0" xfId="0" applyFont="1" applyFill="1" applyAlignment="1">
      <alignment horizontal="right" wrapText="1"/>
    </xf>
    <xf numFmtId="0" fontId="8" fillId="10" borderId="19" xfId="0" applyFont="1" applyFill="1" applyBorder="1"/>
    <xf numFmtId="0" fontId="8" fillId="10" borderId="35" xfId="0" applyFont="1" applyFill="1" applyBorder="1" applyAlignment="1">
      <alignment horizontal="center"/>
    </xf>
    <xf numFmtId="0" fontId="8" fillId="10" borderId="0" xfId="0" applyFont="1" applyFill="1" applyBorder="1" applyAlignment="1">
      <alignment horizontal="center"/>
    </xf>
    <xf numFmtId="0" fontId="8" fillId="10" borderId="45" xfId="0" applyFont="1" applyFill="1" applyBorder="1" applyAlignment="1">
      <alignment horizontal="center"/>
    </xf>
    <xf numFmtId="0" fontId="8" fillId="10" borderId="0" xfId="0" applyFont="1" applyFill="1" applyAlignment="1">
      <alignment horizontal="center"/>
    </xf>
    <xf numFmtId="0" fontId="14" fillId="0" borderId="45" xfId="0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/>
    </xf>
    <xf numFmtId="0" fontId="8" fillId="8" borderId="34" xfId="0" applyFont="1" applyFill="1" applyBorder="1"/>
    <xf numFmtId="0" fontId="8" fillId="11" borderId="0" xfId="0" applyFont="1" applyFill="1" applyAlignment="1">
      <alignment horizontal="right" wrapText="1"/>
    </xf>
    <xf numFmtId="0" fontId="8" fillId="11" borderId="19" xfId="0" applyFont="1" applyFill="1" applyBorder="1"/>
    <xf numFmtId="0" fontId="8" fillId="11" borderId="35" xfId="0" applyFont="1" applyFill="1" applyBorder="1" applyAlignment="1">
      <alignment horizontal="center"/>
    </xf>
    <xf numFmtId="0" fontId="8" fillId="11" borderId="0" xfId="0" applyFont="1" applyFill="1" applyAlignment="1">
      <alignment horizontal="center"/>
    </xf>
    <xf numFmtId="0" fontId="8" fillId="11" borderId="41" xfId="0" applyFont="1" applyFill="1" applyBorder="1" applyAlignment="1">
      <alignment horizontal="center"/>
    </xf>
    <xf numFmtId="0" fontId="14" fillId="0" borderId="0" xfId="0" applyFont="1"/>
    <xf numFmtId="0" fontId="24" fillId="0" borderId="0" xfId="0" applyFont="1"/>
    <xf numFmtId="0" fontId="24" fillId="12" borderId="3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5" fillId="12" borderId="31" xfId="0" applyFont="1" applyFill="1" applyBorder="1" applyAlignment="1">
      <alignment horizontal="center" wrapText="1"/>
    </xf>
    <xf numFmtId="0" fontId="5" fillId="12" borderId="31" xfId="0" quotePrefix="1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5" fillId="11" borderId="31" xfId="0" applyFont="1" applyFill="1" applyBorder="1" applyAlignment="1">
      <alignment horizontal="center" vertical="center"/>
    </xf>
    <xf numFmtId="0" fontId="0" fillId="11" borderId="31" xfId="0" applyFill="1" applyBorder="1" applyAlignment="1">
      <alignment horizontal="center" vertical="center"/>
    </xf>
    <xf numFmtId="0" fontId="8" fillId="0" borderId="31" xfId="0" applyFont="1" applyBorder="1" applyAlignment="1">
      <alignment horizontal="right" vertical="center" wrapText="1"/>
    </xf>
    <xf numFmtId="0" fontId="5" fillId="11" borderId="31" xfId="0" applyFont="1" applyFill="1" applyBorder="1" applyAlignment="1">
      <alignment horizontal="center" vertical="center" wrapText="1"/>
    </xf>
    <xf numFmtId="0" fontId="8" fillId="11" borderId="31" xfId="0" applyFont="1" applyFill="1" applyBorder="1" applyAlignment="1">
      <alignment horizontal="center" vertical="center"/>
    </xf>
    <xf numFmtId="3" fontId="8" fillId="0" borderId="31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5" fillId="0" borderId="31" xfId="0" applyFont="1" applyBorder="1"/>
    <xf numFmtId="0" fontId="0" fillId="0" borderId="0" xfId="0" applyAlignment="1">
      <alignment vertical="center" wrapText="1"/>
    </xf>
    <xf numFmtId="41" fontId="21" fillId="0" borderId="0" xfId="0" applyNumberFormat="1" applyFont="1"/>
    <xf numFmtId="0" fontId="27" fillId="0" borderId="0" xfId="0" applyFont="1"/>
    <xf numFmtId="0" fontId="28" fillId="0" borderId="0" xfId="0" applyFont="1"/>
    <xf numFmtId="0" fontId="24" fillId="12" borderId="58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9" fillId="0" borderId="27" xfId="0" applyFont="1" applyBorder="1" applyAlignment="1">
      <alignment horizontal="right" vertical="center" wrapText="1"/>
    </xf>
    <xf numFmtId="0" fontId="29" fillId="0" borderId="41" xfId="0" applyFont="1" applyBorder="1" applyAlignment="1">
      <alignment horizontal="right" vertical="center" wrapText="1"/>
    </xf>
    <xf numFmtId="0" fontId="29" fillId="0" borderId="18" xfId="0" applyFont="1" applyBorder="1" applyAlignment="1">
      <alignment horizontal="center" vertical="center" wrapText="1"/>
    </xf>
    <xf numFmtId="3" fontId="29" fillId="0" borderId="31" xfId="0" applyNumberFormat="1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right" vertical="center" wrapText="1"/>
    </xf>
    <xf numFmtId="3" fontId="29" fillId="0" borderId="3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1" fontId="0" fillId="0" borderId="0" xfId="0" applyNumberFormat="1" applyFill="1" applyAlignment="1">
      <alignment horizontal="center"/>
    </xf>
    <xf numFmtId="0" fontId="8" fillId="6" borderId="31" xfId="0" applyFont="1" applyFill="1" applyBorder="1" applyAlignment="1">
      <alignment horizontal="center" vertical="center"/>
    </xf>
    <xf numFmtId="0" fontId="8" fillId="6" borderId="48" xfId="0" applyFont="1" applyFill="1" applyBorder="1" applyAlignment="1">
      <alignment horizontal="center" vertical="center"/>
    </xf>
    <xf numFmtId="0" fontId="8" fillId="6" borderId="31" xfId="0" applyFont="1" applyFill="1" applyBorder="1" applyAlignment="1">
      <alignment vertical="center"/>
    </xf>
    <xf numFmtId="0" fontId="8" fillId="13" borderId="0" xfId="0" applyFont="1" applyFill="1" applyAlignment="1">
      <alignment horizontal="right" wrapText="1"/>
    </xf>
    <xf numFmtId="0" fontId="8" fillId="13" borderId="0" xfId="0" applyFont="1" applyFill="1"/>
    <xf numFmtId="0" fontId="8" fillId="13" borderId="0" xfId="0" applyFont="1" applyFill="1" applyAlignment="1">
      <alignment horizontal="center"/>
    </xf>
    <xf numFmtId="0" fontId="8" fillId="13" borderId="45" xfId="0" applyFont="1" applyFill="1" applyBorder="1" applyAlignment="1">
      <alignment horizontal="center"/>
    </xf>
    <xf numFmtId="0" fontId="30" fillId="13" borderId="0" xfId="0" applyFont="1" applyFill="1" applyAlignment="1">
      <alignment horizontal="right" wrapText="1"/>
    </xf>
    <xf numFmtId="0" fontId="30" fillId="13" borderId="0" xfId="0" applyFont="1" applyFill="1"/>
    <xf numFmtId="0" fontId="30" fillId="13" borderId="0" xfId="0" applyFont="1" applyFill="1" applyAlignment="1">
      <alignment horizontal="center"/>
    </xf>
    <xf numFmtId="0" fontId="30" fillId="13" borderId="45" xfId="0" applyFont="1" applyFill="1" applyBorder="1" applyAlignment="1">
      <alignment horizontal="center"/>
    </xf>
    <xf numFmtId="8" fontId="29" fillId="6" borderId="31" xfId="0" applyNumberFormat="1" applyFont="1" applyFill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/>
    </xf>
    <xf numFmtId="37" fontId="31" fillId="0" borderId="0" xfId="0" applyNumberFormat="1" applyFont="1" applyAlignment="1" applyProtection="1">
      <alignment horizontal="center"/>
    </xf>
    <xf numFmtId="37" fontId="33" fillId="0" borderId="0" xfId="0" applyNumberFormat="1" applyFont="1" applyAlignment="1" applyProtection="1">
      <alignment horizontal="center" wrapText="1"/>
    </xf>
    <xf numFmtId="0" fontId="32" fillId="0" borderId="0" xfId="0" applyFont="1" applyAlignment="1">
      <alignment horizontal="center" wrapText="1"/>
    </xf>
    <xf numFmtId="37" fontId="34" fillId="0" borderId="0" xfId="0" applyNumberFormat="1" applyFont="1" applyProtection="1"/>
    <xf numFmtId="41" fontId="31" fillId="0" borderId="0" xfId="0" applyNumberFormat="1" applyFont="1" applyProtection="1"/>
    <xf numFmtId="41" fontId="31" fillId="0" borderId="0" xfId="0" applyNumberFormat="1" applyFont="1"/>
    <xf numFmtId="41" fontId="8" fillId="0" borderId="0" xfId="0" applyNumberFormat="1" applyFont="1"/>
    <xf numFmtId="0" fontId="31" fillId="0" borderId="0" xfId="0" applyFont="1" applyAlignment="1">
      <alignment horizontal="left"/>
    </xf>
    <xf numFmtId="37" fontId="31" fillId="0" borderId="0" xfId="0" applyNumberFormat="1" applyFont="1" applyProtection="1"/>
    <xf numFmtId="0" fontId="26" fillId="0" borderId="0" xfId="0" applyFont="1"/>
    <xf numFmtId="37" fontId="26" fillId="0" borderId="0" xfId="0" applyNumberFormat="1" applyFont="1" applyProtection="1"/>
    <xf numFmtId="0" fontId="35" fillId="0" borderId="0" xfId="0" applyFont="1"/>
    <xf numFmtId="44" fontId="0" fillId="0" borderId="0" xfId="1" applyFont="1"/>
    <xf numFmtId="0" fontId="0" fillId="11" borderId="31" xfId="0" applyFill="1" applyBorder="1"/>
    <xf numFmtId="0" fontId="0" fillId="11" borderId="31" xfId="0" applyFill="1" applyBorder="1" applyAlignment="1">
      <alignment horizontal="center"/>
    </xf>
    <xf numFmtId="44" fontId="0" fillId="11" borderId="31" xfId="1" applyFont="1" applyFill="1" applyBorder="1" applyAlignment="1">
      <alignment horizontal="center"/>
    </xf>
    <xf numFmtId="0" fontId="0" fillId="11" borderId="31" xfId="0" applyFill="1" applyBorder="1" applyAlignment="1"/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44" fontId="0" fillId="0" borderId="0" xfId="0" applyNumberFormat="1" applyAlignment="1"/>
    <xf numFmtId="0" fontId="36" fillId="0" borderId="31" xfId="0" applyFont="1" applyFill="1" applyBorder="1" applyAlignment="1">
      <alignment vertical="center"/>
    </xf>
    <xf numFmtId="0" fontId="36" fillId="0" borderId="35" xfId="0" applyFont="1" applyFill="1" applyBorder="1" applyAlignment="1"/>
    <xf numFmtId="0" fontId="0" fillId="0" borderId="45" xfId="0" applyBorder="1" applyAlignment="1"/>
    <xf numFmtId="8" fontId="37" fillId="0" borderId="19" xfId="0" applyNumberFormat="1" applyFont="1" applyBorder="1" applyAlignment="1">
      <alignment horizontal="center"/>
    </xf>
    <xf numFmtId="0" fontId="35" fillId="0" borderId="40" xfId="0" applyFont="1" applyFill="1" applyBorder="1" applyAlignment="1"/>
    <xf numFmtId="0" fontId="0" fillId="0" borderId="41" xfId="0" applyBorder="1" applyAlignment="1"/>
    <xf numFmtId="0" fontId="0" fillId="0" borderId="18" xfId="0" applyBorder="1"/>
    <xf numFmtId="44" fontId="0" fillId="0" borderId="18" xfId="1" applyFont="1" applyBorder="1"/>
    <xf numFmtId="44" fontId="0" fillId="0" borderId="18" xfId="0" applyNumberFormat="1" applyBorder="1"/>
    <xf numFmtId="0" fontId="0" fillId="0" borderId="18" xfId="0" applyBorder="1" applyAlignment="1">
      <alignment vertical="center" wrapText="1"/>
    </xf>
    <xf numFmtId="0" fontId="0" fillId="0" borderId="31" xfId="0" applyBorder="1" applyAlignment="1">
      <alignment vertical="center"/>
    </xf>
    <xf numFmtId="44" fontId="0" fillId="0" borderId="18" xfId="1" applyFont="1" applyFill="1" applyBorder="1" applyAlignment="1"/>
    <xf numFmtId="0" fontId="0" fillId="0" borderId="18" xfId="0" applyBorder="1" applyAlignment="1"/>
    <xf numFmtId="44" fontId="0" fillId="0" borderId="18" xfId="1" applyFont="1" applyBorder="1" applyAlignment="1"/>
    <xf numFmtId="0" fontId="36" fillId="0" borderId="31" xfId="0" applyFont="1" applyFill="1" applyBorder="1" applyAlignment="1"/>
    <xf numFmtId="0" fontId="35" fillId="0" borderId="31" xfId="0" applyFont="1" applyFill="1" applyBorder="1" applyAlignment="1"/>
    <xf numFmtId="44" fontId="0" fillId="0" borderId="0" xfId="0" applyNumberFormat="1" applyFill="1" applyAlignment="1"/>
    <xf numFmtId="0" fontId="36" fillId="0" borderId="31" xfId="0" applyFont="1" applyFill="1" applyBorder="1" applyAlignment="1">
      <alignment vertical="center" wrapText="1"/>
    </xf>
    <xf numFmtId="44" fontId="0" fillId="0" borderId="19" xfId="0" applyNumberFormat="1" applyBorder="1" applyAlignment="1">
      <alignment vertical="center" wrapText="1"/>
    </xf>
    <xf numFmtId="0" fontId="36" fillId="0" borderId="40" xfId="0" applyFont="1" applyFill="1" applyBorder="1" applyAlignment="1">
      <alignment wrapText="1"/>
    </xf>
    <xf numFmtId="0" fontId="0" fillId="0" borderId="41" xfId="0" applyBorder="1"/>
    <xf numFmtId="0" fontId="0" fillId="0" borderId="40" xfId="0" applyBorder="1"/>
    <xf numFmtId="0" fontId="0" fillId="0" borderId="32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40" xfId="0" applyBorder="1" applyAlignment="1">
      <alignment vertical="center"/>
    </xf>
    <xf numFmtId="44" fontId="0" fillId="0" borderId="0" xfId="1" applyFont="1" applyAlignment="1">
      <alignment horizontal="right"/>
    </xf>
    <xf numFmtId="2" fontId="0" fillId="0" borderId="31" xfId="0" applyNumberFormat="1" applyFill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31" xfId="0" applyBorder="1" applyAlignment="1">
      <alignment horizontal="center" wrapText="1"/>
    </xf>
    <xf numFmtId="44" fontId="0" fillId="6" borderId="31" xfId="1" applyFont="1" applyFill="1" applyBorder="1" applyAlignment="1">
      <alignment vertical="center"/>
    </xf>
    <xf numFmtId="44" fontId="37" fillId="6" borderId="31" xfId="1" applyFont="1" applyFill="1" applyBorder="1" applyAlignment="1">
      <alignment horizontal="center" vertical="center"/>
    </xf>
    <xf numFmtId="41" fontId="0" fillId="6" borderId="31" xfId="0" applyNumberFormat="1" applyFill="1" applyBorder="1" applyAlignment="1">
      <alignment horizontal="center" vertical="center"/>
    </xf>
    <xf numFmtId="43" fontId="0" fillId="6" borderId="31" xfId="0" applyNumberFormat="1" applyFill="1" applyBorder="1" applyAlignment="1">
      <alignment horizontal="center" vertical="center"/>
    </xf>
    <xf numFmtId="0" fontId="0" fillId="0" borderId="0" xfId="0" applyFill="1" applyAlignment="1"/>
    <xf numFmtId="42" fontId="0" fillId="0" borderId="0" xfId="0" applyNumberFormat="1" applyFill="1" applyAlignment="1"/>
    <xf numFmtId="42" fontId="0" fillId="0" borderId="0" xfId="1" applyNumberFormat="1" applyFont="1" applyFill="1"/>
    <xf numFmtId="0" fontId="17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0" fontId="8" fillId="6" borderId="0" xfId="0" applyFont="1" applyFill="1"/>
    <xf numFmtId="41" fontId="0" fillId="3" borderId="0" xfId="0" applyNumberFormat="1" applyFill="1"/>
    <xf numFmtId="42" fontId="8" fillId="3" borderId="32" xfId="2" applyNumberFormat="1" applyFill="1" applyBorder="1" applyProtection="1">
      <protection hidden="1"/>
    </xf>
    <xf numFmtId="42" fontId="8" fillId="3" borderId="33" xfId="2" applyNumberFormat="1" applyFill="1" applyBorder="1" applyProtection="1">
      <protection hidden="1"/>
    </xf>
    <xf numFmtId="42" fontId="8" fillId="3" borderId="47" xfId="2" applyNumberFormat="1" applyFill="1" applyBorder="1" applyProtection="1">
      <protection hidden="1"/>
    </xf>
    <xf numFmtId="0" fontId="0" fillId="6" borderId="19" xfId="0" applyFill="1" applyBorder="1"/>
    <xf numFmtId="8" fontId="37" fillId="0" borderId="19" xfId="0" applyNumberFormat="1" applyFont="1" applyBorder="1" applyAlignment="1">
      <alignment horizontal="left"/>
    </xf>
    <xf numFmtId="0" fontId="8" fillId="3" borderId="26" xfId="0" applyFont="1" applyFill="1" applyBorder="1"/>
    <xf numFmtId="43" fontId="0" fillId="0" borderId="0" xfId="0" applyNumberFormat="1" applyAlignment="1"/>
    <xf numFmtId="165" fontId="21" fillId="0" borderId="0" xfId="0" applyNumberFormat="1" applyFont="1"/>
    <xf numFmtId="0" fontId="23" fillId="3" borderId="36" xfId="0" applyFont="1" applyFill="1" applyBorder="1"/>
    <xf numFmtId="6" fontId="0" fillId="6" borderId="0" xfId="0" applyNumberFormat="1" applyFill="1"/>
    <xf numFmtId="0" fontId="0" fillId="0" borderId="0" xfId="0" applyAlignment="1">
      <alignment horizontal="right" vertical="center" wrapText="1"/>
    </xf>
    <xf numFmtId="8" fontId="8" fillId="0" borderId="31" xfId="0" applyNumberFormat="1" applyFont="1" applyFill="1" applyBorder="1" applyAlignment="1">
      <alignment horizontal="center" vertical="center"/>
    </xf>
    <xf numFmtId="0" fontId="40" fillId="0" borderId="0" xfId="0" applyFont="1"/>
    <xf numFmtId="0" fontId="40" fillId="14" borderId="4" xfId="0" applyFont="1" applyFill="1" applyBorder="1" applyAlignment="1">
      <alignment vertical="center"/>
    </xf>
    <xf numFmtId="0" fontId="40" fillId="14" borderId="0" xfId="0" applyFont="1" applyFill="1" applyBorder="1"/>
    <xf numFmtId="0" fontId="40" fillId="14" borderId="5" xfId="0" applyFont="1" applyFill="1" applyBorder="1"/>
    <xf numFmtId="0" fontId="40" fillId="0" borderId="0" xfId="0" applyFont="1" applyAlignment="1">
      <alignment wrapText="1"/>
    </xf>
    <xf numFmtId="0" fontId="40" fillId="0" borderId="48" xfId="0" applyFont="1" applyBorder="1" applyAlignment="1">
      <alignment horizontal="center" vertical="center"/>
    </xf>
    <xf numFmtId="167" fontId="40" fillId="0" borderId="68" xfId="0" applyNumberFormat="1" applyFont="1" applyBorder="1" applyAlignment="1">
      <alignment horizontal="center" vertical="center"/>
    </xf>
    <xf numFmtId="0" fontId="40" fillId="0" borderId="0" xfId="0" applyFont="1" applyBorder="1"/>
    <xf numFmtId="0" fontId="40" fillId="0" borderId="5" xfId="0" applyFont="1" applyBorder="1"/>
    <xf numFmtId="0" fontId="40" fillId="15" borderId="4" xfId="0" applyFont="1" applyFill="1" applyBorder="1" applyAlignment="1">
      <alignment horizontal="center" vertical="center" wrapText="1"/>
    </xf>
    <xf numFmtId="0" fontId="40" fillId="15" borderId="0" xfId="0" applyFont="1" applyFill="1" applyBorder="1"/>
    <xf numFmtId="0" fontId="40" fillId="15" borderId="5" xfId="0" applyFont="1" applyFill="1" applyBorder="1"/>
    <xf numFmtId="10" fontId="40" fillId="0" borderId="31" xfId="5" applyNumberFormat="1" applyFont="1" applyFill="1" applyBorder="1" applyAlignment="1">
      <alignment horizontal="center"/>
    </xf>
    <xf numFmtId="0" fontId="40" fillId="0" borderId="31" xfId="0" applyFont="1" applyBorder="1" applyAlignment="1">
      <alignment horizontal="center" vertical="center"/>
    </xf>
    <xf numFmtId="0" fontId="40" fillId="0" borderId="31" xfId="0" applyFont="1" applyBorder="1" applyAlignment="1">
      <alignment horizontal="center"/>
    </xf>
    <xf numFmtId="8" fontId="40" fillId="0" borderId="68" xfId="0" applyNumberFormat="1" applyFont="1" applyBorder="1" applyAlignment="1">
      <alignment horizontal="center"/>
    </xf>
    <xf numFmtId="0" fontId="40" fillId="10" borderId="0" xfId="0" applyFont="1" applyFill="1" applyBorder="1"/>
    <xf numFmtId="0" fontId="0" fillId="10" borderId="0" xfId="0" applyFill="1" applyAlignment="1">
      <alignment horizontal="center" vertical="center"/>
    </xf>
    <xf numFmtId="0" fontId="31" fillId="10" borderId="0" xfId="0" applyFont="1" applyFill="1" applyBorder="1"/>
    <xf numFmtId="0" fontId="40" fillId="10" borderId="7" xfId="0" applyFont="1" applyFill="1" applyBorder="1"/>
    <xf numFmtId="0" fontId="0" fillId="10" borderId="7" xfId="0" applyFill="1" applyBorder="1" applyAlignment="1">
      <alignment horizontal="center" vertical="center"/>
    </xf>
    <xf numFmtId="0" fontId="31" fillId="10" borderId="7" xfId="0" applyFont="1" applyFill="1" applyBorder="1"/>
    <xf numFmtId="0" fontId="40" fillId="0" borderId="58" xfId="0" applyFont="1" applyBorder="1" applyAlignment="1">
      <alignment horizontal="center" vertical="center"/>
    </xf>
    <xf numFmtId="0" fontId="40" fillId="0" borderId="58" xfId="0" applyFont="1" applyBorder="1" applyAlignment="1">
      <alignment horizontal="center"/>
    </xf>
    <xf numFmtId="0" fontId="40" fillId="0" borderId="0" xfId="0" applyFont="1" applyAlignment="1">
      <alignment horizontal="center" vertical="center" wrapText="1"/>
    </xf>
    <xf numFmtId="0" fontId="40" fillId="0" borderId="63" xfId="0" applyFont="1" applyFill="1" applyBorder="1" applyAlignment="1">
      <alignment horizontal="center" wrapText="1"/>
    </xf>
    <xf numFmtId="0" fontId="40" fillId="0" borderId="58" xfId="0" applyFont="1" applyFill="1" applyBorder="1" applyAlignment="1">
      <alignment horizontal="center" wrapText="1"/>
    </xf>
    <xf numFmtId="0" fontId="40" fillId="0" borderId="64" xfId="0" applyFont="1" applyFill="1" applyBorder="1" applyAlignment="1">
      <alignment horizontal="center" wrapText="1"/>
    </xf>
    <xf numFmtId="168" fontId="40" fillId="0" borderId="40" xfId="5" applyNumberFormat="1" applyFont="1" applyFill="1" applyBorder="1" applyAlignment="1">
      <alignment horizontal="center" vertical="center"/>
    </xf>
    <xf numFmtId="168" fontId="40" fillId="0" borderId="62" xfId="5" applyNumberFormat="1" applyFont="1" applyFill="1" applyBorder="1" applyAlignment="1">
      <alignment horizontal="center" vertical="center"/>
    </xf>
    <xf numFmtId="0" fontId="40" fillId="0" borderId="60" xfId="0" applyFont="1" applyFill="1" applyBorder="1" applyAlignment="1">
      <alignment horizontal="center" vertical="center"/>
    </xf>
    <xf numFmtId="0" fontId="40" fillId="0" borderId="41" xfId="0" applyFont="1" applyFill="1" applyBorder="1" applyAlignment="1">
      <alignment horizontal="center" vertical="center"/>
    </xf>
    <xf numFmtId="167" fontId="40" fillId="0" borderId="67" xfId="0" applyNumberFormat="1" applyFont="1" applyFill="1" applyBorder="1" applyAlignment="1">
      <alignment horizontal="center" vertical="center"/>
    </xf>
    <xf numFmtId="168" fontId="40" fillId="0" borderId="38" xfId="5" applyNumberFormat="1" applyFont="1" applyFill="1" applyBorder="1" applyAlignment="1">
      <alignment horizontal="center" vertical="center"/>
    </xf>
    <xf numFmtId="168" fontId="40" fillId="0" borderId="68" xfId="5" applyNumberFormat="1" applyFont="1" applyFill="1" applyBorder="1" applyAlignment="1">
      <alignment horizontal="center" vertical="center"/>
    </xf>
    <xf numFmtId="0" fontId="40" fillId="0" borderId="69" xfId="0" applyFont="1" applyFill="1" applyBorder="1" applyAlignment="1">
      <alignment horizontal="center" vertical="center"/>
    </xf>
    <xf numFmtId="0" fontId="40" fillId="0" borderId="48" xfId="0" applyFont="1" applyFill="1" applyBorder="1" applyAlignment="1">
      <alignment horizontal="center" vertical="center"/>
    </xf>
    <xf numFmtId="167" fontId="40" fillId="0" borderId="68" xfId="0" applyNumberFormat="1" applyFont="1" applyFill="1" applyBorder="1" applyAlignment="1">
      <alignment horizontal="center" vertical="center"/>
    </xf>
    <xf numFmtId="168" fontId="40" fillId="0" borderId="71" xfId="5" applyNumberFormat="1" applyFont="1" applyFill="1" applyBorder="1" applyAlignment="1">
      <alignment horizontal="center" vertical="center"/>
    </xf>
    <xf numFmtId="168" fontId="40" fillId="0" borderId="64" xfId="5" applyNumberFormat="1" applyFont="1" applyFill="1" applyBorder="1" applyAlignment="1">
      <alignment horizontal="center" vertical="center"/>
    </xf>
    <xf numFmtId="0" fontId="40" fillId="0" borderId="6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10" fontId="5" fillId="0" borderId="9" xfId="5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168" fontId="5" fillId="0" borderId="12" xfId="5" applyNumberFormat="1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167" fontId="40" fillId="0" borderId="5" xfId="0" applyNumberFormat="1" applyFont="1" applyFill="1" applyBorder="1" applyAlignment="1">
      <alignment horizontal="center" vertical="center"/>
    </xf>
    <xf numFmtId="168" fontId="40" fillId="0" borderId="38" xfId="5" applyNumberFormat="1" applyFont="1" applyFill="1" applyBorder="1" applyAlignment="1">
      <alignment horizontal="center"/>
    </xf>
    <xf numFmtId="0" fontId="40" fillId="0" borderId="48" xfId="0" applyFont="1" applyFill="1" applyBorder="1"/>
    <xf numFmtId="168" fontId="40" fillId="0" borderId="32" xfId="5" applyNumberFormat="1" applyFont="1" applyFill="1" applyBorder="1" applyAlignment="1">
      <alignment horizontal="center"/>
    </xf>
    <xf numFmtId="168" fontId="40" fillId="0" borderId="76" xfId="5" applyNumberFormat="1" applyFont="1" applyFill="1" applyBorder="1" applyAlignment="1">
      <alignment horizontal="center" vertical="center"/>
    </xf>
    <xf numFmtId="10" fontId="5" fillId="0" borderId="12" xfId="5" applyNumberFormat="1" applyFont="1" applyFill="1" applyBorder="1" applyAlignment="1">
      <alignment horizontal="center" vertical="center"/>
    </xf>
    <xf numFmtId="0" fontId="5" fillId="0" borderId="44" xfId="0" applyFont="1" applyFill="1" applyBorder="1"/>
    <xf numFmtId="0" fontId="5" fillId="0" borderId="11" xfId="0" applyFont="1" applyFill="1" applyBorder="1" applyAlignment="1">
      <alignment horizontal="center" vertical="center"/>
    </xf>
    <xf numFmtId="168" fontId="40" fillId="0" borderId="12" xfId="5" applyNumberFormat="1" applyFont="1" applyFill="1" applyBorder="1" applyAlignment="1">
      <alignment horizontal="center" vertical="center"/>
    </xf>
    <xf numFmtId="0" fontId="40" fillId="0" borderId="12" xfId="0" applyFont="1" applyFill="1" applyBorder="1" applyAlignment="1">
      <alignment horizontal="center" vertical="center"/>
    </xf>
    <xf numFmtId="0" fontId="40" fillId="0" borderId="0" xfId="0" applyFont="1" applyFill="1" applyBorder="1"/>
    <xf numFmtId="0" fontId="40" fillId="0" borderId="5" xfId="0" applyFont="1" applyFill="1" applyBorder="1"/>
    <xf numFmtId="168" fontId="40" fillId="0" borderId="32" xfId="5" applyNumberFormat="1" applyFont="1" applyFill="1" applyBorder="1" applyAlignment="1">
      <alignment horizontal="center" vertical="center"/>
    </xf>
    <xf numFmtId="168" fontId="40" fillId="0" borderId="9" xfId="5" applyNumberFormat="1" applyFont="1" applyFill="1" applyBorder="1" applyAlignment="1">
      <alignment horizontal="center" vertical="center"/>
    </xf>
    <xf numFmtId="0" fontId="40" fillId="0" borderId="44" xfId="0" applyFont="1" applyFill="1" applyBorder="1"/>
    <xf numFmtId="0" fontId="40" fillId="0" borderId="11" xfId="0" applyFont="1" applyFill="1" applyBorder="1" applyAlignment="1">
      <alignment horizontal="center" vertical="center"/>
    </xf>
    <xf numFmtId="0" fontId="40" fillId="6" borderId="61" xfId="0" applyFont="1" applyFill="1" applyBorder="1" applyAlignment="1">
      <alignment horizontal="center" vertical="center"/>
    </xf>
    <xf numFmtId="0" fontId="40" fillId="6" borderId="31" xfId="0" applyFont="1" applyFill="1" applyBorder="1" applyAlignment="1">
      <alignment horizontal="center" vertical="center"/>
    </xf>
    <xf numFmtId="0" fontId="40" fillId="6" borderId="58" xfId="0" applyFont="1" applyFill="1" applyBorder="1" applyAlignment="1">
      <alignment horizontal="center" vertical="center"/>
    </xf>
    <xf numFmtId="0" fontId="40" fillId="6" borderId="75" xfId="0" applyFont="1" applyFill="1" applyBorder="1" applyAlignment="1">
      <alignment horizontal="center" vertical="center"/>
    </xf>
    <xf numFmtId="0" fontId="40" fillId="6" borderId="48" xfId="0" applyFont="1" applyFill="1" applyBorder="1" applyAlignment="1">
      <alignment horizontal="center" vertical="center"/>
    </xf>
    <xf numFmtId="0" fontId="40" fillId="6" borderId="47" xfId="0" applyFont="1" applyFill="1" applyBorder="1" applyAlignment="1">
      <alignment horizontal="center" vertical="center"/>
    </xf>
    <xf numFmtId="0" fontId="40" fillId="6" borderId="31" xfId="0" applyFont="1" applyFill="1" applyBorder="1" applyAlignment="1">
      <alignment horizontal="center"/>
    </xf>
    <xf numFmtId="0" fontId="40" fillId="6" borderId="34" xfId="0" applyFont="1" applyFill="1" applyBorder="1" applyAlignment="1">
      <alignment horizontal="center"/>
    </xf>
    <xf numFmtId="0" fontId="40" fillId="6" borderId="34" xfId="0" applyFont="1" applyFill="1" applyBorder="1" applyAlignment="1">
      <alignment horizontal="center" vertical="center"/>
    </xf>
    <xf numFmtId="0" fontId="40" fillId="6" borderId="18" xfId="0" applyFont="1" applyFill="1" applyBorder="1" applyAlignment="1">
      <alignment horizontal="center" vertical="center"/>
    </xf>
    <xf numFmtId="0" fontId="31" fillId="6" borderId="31" xfId="0" applyFont="1" applyFill="1" applyBorder="1" applyAlignment="1">
      <alignment horizontal="center" vertical="center"/>
    </xf>
    <xf numFmtId="41" fontId="0" fillId="0" borderId="7" xfId="0" applyNumberFormat="1" applyBorder="1"/>
    <xf numFmtId="0" fontId="8" fillId="0" borderId="31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0" fillId="0" borderId="0" xfId="0" applyAlignment="1"/>
    <xf numFmtId="0" fontId="0" fillId="0" borderId="31" xfId="0" applyBorder="1" applyAlignment="1">
      <alignment vertical="center"/>
    </xf>
    <xf numFmtId="0" fontId="0" fillId="0" borderId="0" xfId="0" applyAlignment="1">
      <alignment horizontal="center"/>
    </xf>
    <xf numFmtId="0" fontId="41" fillId="3" borderId="37" xfId="2" applyFont="1" applyFill="1" applyBorder="1" applyProtection="1">
      <protection hidden="1"/>
    </xf>
    <xf numFmtId="0" fontId="41" fillId="3" borderId="26" xfId="0" applyFont="1" applyFill="1" applyBorder="1"/>
    <xf numFmtId="41" fontId="0" fillId="16" borderId="0" xfId="0" applyNumberFormat="1" applyFill="1"/>
    <xf numFmtId="0" fontId="0" fillId="16" borderId="0" xfId="0" applyFill="1"/>
    <xf numFmtId="44" fontId="0" fillId="0" borderId="31" xfId="1" applyNumberFormat="1" applyFont="1" applyFill="1" applyBorder="1" applyAlignment="1">
      <alignment vertical="center"/>
    </xf>
    <xf numFmtId="169" fontId="0" fillId="6" borderId="31" xfId="1" applyNumberFormat="1" applyFont="1" applyFill="1" applyBorder="1" applyAlignment="1">
      <alignment vertical="center"/>
    </xf>
    <xf numFmtId="44" fontId="0" fillId="7" borderId="31" xfId="1" applyNumberFormat="1" applyFont="1" applyFill="1" applyBorder="1" applyAlignment="1">
      <alignment vertical="center"/>
    </xf>
    <xf numFmtId="44" fontId="0" fillId="0" borderId="18" xfId="0" applyNumberFormat="1" applyBorder="1" applyAlignment="1">
      <alignment wrapText="1"/>
    </xf>
    <xf numFmtId="0" fontId="0" fillId="0" borderId="0" xfId="0" applyAlignment="1">
      <alignment horizontal="center"/>
    </xf>
    <xf numFmtId="9" fontId="8" fillId="0" borderId="0" xfId="0" applyNumberFormat="1" applyFont="1"/>
    <xf numFmtId="0" fontId="0" fillId="0" borderId="48" xfId="0" applyBorder="1" applyAlignment="1">
      <alignment horizontal="right"/>
    </xf>
    <xf numFmtId="0" fontId="0" fillId="0" borderId="41" xfId="0" applyBorder="1" applyAlignment="1">
      <alignment horizontal="right"/>
    </xf>
    <xf numFmtId="3" fontId="0" fillId="0" borderId="0" xfId="0" applyNumberFormat="1"/>
    <xf numFmtId="0" fontId="0" fillId="0" borderId="0" xfId="0" applyAlignment="1">
      <alignment horizontal="right" wrapText="1"/>
    </xf>
    <xf numFmtId="170" fontId="0" fillId="0" borderId="0" xfId="0" applyNumberFormat="1"/>
    <xf numFmtId="0" fontId="42" fillId="17" borderId="0" xfId="6"/>
    <xf numFmtId="0" fontId="42" fillId="17" borderId="0" xfId="6" applyAlignment="1">
      <alignment wrapText="1"/>
    </xf>
    <xf numFmtId="10" fontId="0" fillId="0" borderId="0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42" fontId="42" fillId="17" borderId="0" xfId="6" applyNumberFormat="1" applyAlignment="1">
      <alignment wrapText="1"/>
    </xf>
    <xf numFmtId="0" fontId="0" fillId="0" borderId="0" xfId="0" applyAlignment="1">
      <alignment horizontal="center"/>
    </xf>
    <xf numFmtId="0" fontId="8" fillId="18" borderId="33" xfId="0" applyFont="1" applyFill="1" applyBorder="1" applyAlignment="1">
      <alignment horizontal="right" wrapText="1"/>
    </xf>
    <xf numFmtId="0" fontId="8" fillId="19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17" xfId="0" applyFont="1" applyFill="1" applyBorder="1" applyAlignment="1">
      <alignment horizontal="right" vertical="center" wrapText="1"/>
    </xf>
    <xf numFmtId="0" fontId="46" fillId="0" borderId="0" xfId="0" applyFont="1" applyFill="1" applyBorder="1" applyAlignment="1">
      <alignment horizontal="right"/>
    </xf>
    <xf numFmtId="0" fontId="17" fillId="0" borderId="0" xfId="0" applyFont="1" applyAlignment="1">
      <alignment horizontal="right" wrapText="1"/>
    </xf>
    <xf numFmtId="9" fontId="8" fillId="0" borderId="0" xfId="5" applyFont="1"/>
    <xf numFmtId="0" fontId="8" fillId="0" borderId="3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7" fillId="0" borderId="0" xfId="0" applyFont="1"/>
    <xf numFmtId="0" fontId="48" fillId="0" borderId="0" xfId="0" applyFont="1" applyFill="1" applyAlignment="1">
      <alignment horizontal="center"/>
    </xf>
    <xf numFmtId="0" fontId="48" fillId="0" borderId="0" xfId="0" applyFont="1"/>
    <xf numFmtId="0" fontId="49" fillId="0" borderId="0" xfId="0" applyFont="1"/>
    <xf numFmtId="0" fontId="48" fillId="0" borderId="0" xfId="0" applyFont="1" applyAlignment="1">
      <alignment horizontal="center"/>
    </xf>
    <xf numFmtId="0" fontId="49" fillId="0" borderId="0" xfId="0" applyFont="1" applyAlignment="1">
      <alignment wrapText="1"/>
    </xf>
    <xf numFmtId="164" fontId="49" fillId="0" borderId="0" xfId="1" applyNumberFormat="1" applyFont="1"/>
    <xf numFmtId="164" fontId="47" fillId="0" borderId="0" xfId="0" applyNumberFormat="1" applyFont="1"/>
    <xf numFmtId="164" fontId="49" fillId="0" borderId="0" xfId="0" applyNumberFormat="1" applyFont="1"/>
    <xf numFmtId="42" fontId="49" fillId="20" borderId="0" xfId="0" applyNumberFormat="1" applyFont="1" applyFill="1"/>
    <xf numFmtId="9" fontId="49" fillId="0" borderId="0" xfId="5" applyFont="1"/>
    <xf numFmtId="168" fontId="49" fillId="20" borderId="0" xfId="5" applyNumberFormat="1" applyFont="1" applyFill="1"/>
    <xf numFmtId="9" fontId="49" fillId="20" borderId="0" xfId="5" applyFont="1" applyFill="1"/>
    <xf numFmtId="0" fontId="49" fillId="0" borderId="0" xfId="0" applyFont="1" applyFill="1"/>
    <xf numFmtId="0" fontId="47" fillId="0" borderId="0" xfId="0" applyFont="1" applyFill="1"/>
    <xf numFmtId="0" fontId="49" fillId="20" borderId="0" xfId="0" applyFont="1" applyFill="1"/>
    <xf numFmtId="42" fontId="49" fillId="0" borderId="0" xfId="0" applyNumberFormat="1" applyFont="1"/>
    <xf numFmtId="0" fontId="48" fillId="0" borderId="0" xfId="0" applyFont="1" applyAlignment="1">
      <alignment horizontal="left"/>
    </xf>
    <xf numFmtId="9" fontId="48" fillId="20" borderId="0" xfId="5" applyFont="1" applyFill="1" applyAlignment="1">
      <alignment horizontal="center"/>
    </xf>
    <xf numFmtId="0" fontId="48" fillId="0" borderId="0" xfId="0" applyFont="1" applyFill="1" applyAlignment="1">
      <alignment horizontal="left"/>
    </xf>
    <xf numFmtId="9" fontId="48" fillId="0" borderId="0" xfId="5" applyFont="1" applyFill="1" applyAlignment="1">
      <alignment horizontal="center"/>
    </xf>
    <xf numFmtId="164" fontId="49" fillId="0" borderId="0" xfId="0" applyNumberFormat="1" applyFont="1" applyFill="1"/>
    <xf numFmtId="6" fontId="49" fillId="0" borderId="0" xfId="0" applyNumberFormat="1" applyFont="1"/>
    <xf numFmtId="0" fontId="48" fillId="12" borderId="0" xfId="0" applyFont="1" applyFill="1"/>
    <xf numFmtId="0" fontId="49" fillId="12" borderId="0" xfId="0" applyFont="1" applyFill="1"/>
    <xf numFmtId="9" fontId="48" fillId="12" borderId="0" xfId="0" applyNumberFormat="1" applyFont="1" applyFill="1"/>
    <xf numFmtId="0" fontId="48" fillId="0" borderId="0" xfId="0" applyFont="1" applyFill="1"/>
    <xf numFmtId="164" fontId="48" fillId="0" borderId="0" xfId="0" applyNumberFormat="1" applyFont="1" applyFill="1"/>
    <xf numFmtId="9" fontId="48" fillId="20" borderId="0" xfId="5" applyFont="1" applyFill="1"/>
    <xf numFmtId="164" fontId="0" fillId="0" borderId="0" xfId="1" applyNumberFormat="1" applyFont="1"/>
    <xf numFmtId="0" fontId="50" fillId="0" borderId="17" xfId="0" applyFont="1" applyBorder="1"/>
    <xf numFmtId="0" fontId="51" fillId="0" borderId="17" xfId="0" applyFont="1" applyBorder="1"/>
    <xf numFmtId="0" fontId="52" fillId="0" borderId="17" xfId="0" applyFont="1" applyBorder="1"/>
    <xf numFmtId="164" fontId="52" fillId="0" borderId="17" xfId="1" applyNumberFormat="1" applyFont="1" applyBorder="1"/>
    <xf numFmtId="0" fontId="0" fillId="0" borderId="17" xfId="0" applyBorder="1"/>
    <xf numFmtId="0" fontId="53" fillId="0" borderId="17" xfId="0" applyFont="1" applyBorder="1"/>
    <xf numFmtId="0" fontId="0" fillId="0" borderId="17" xfId="0" applyBorder="1" applyAlignment="1">
      <alignment horizontal="center"/>
    </xf>
    <xf numFmtId="9" fontId="0" fillId="0" borderId="0" xfId="0" applyNumberFormat="1"/>
    <xf numFmtId="6" fontId="0" fillId="0" borderId="0" xfId="0" applyNumberFormat="1"/>
    <xf numFmtId="0" fontId="8" fillId="0" borderId="0" xfId="0" applyFont="1" applyAlignment="1">
      <alignment horizontal="center" wrapText="1"/>
    </xf>
    <xf numFmtId="0" fontId="5" fillId="3" borderId="0" xfId="0" applyFont="1" applyFill="1" applyBorder="1" applyAlignment="1" applyProtection="1">
      <alignment horizontal="left"/>
      <protection hidden="1"/>
    </xf>
    <xf numFmtId="0" fontId="7" fillId="3" borderId="0" xfId="0" applyFont="1" applyFill="1" applyBorder="1" applyAlignment="1" applyProtection="1">
      <protection hidden="1"/>
    </xf>
    <xf numFmtId="0" fontId="0" fillId="0" borderId="0" xfId="0" applyAlignment="1">
      <alignment horizontal="center"/>
    </xf>
    <xf numFmtId="9" fontId="8" fillId="20" borderId="0" xfId="0" applyNumberFormat="1" applyFont="1" applyFill="1" applyAlignment="1">
      <alignment horizontal="center"/>
    </xf>
    <xf numFmtId="0" fontId="8" fillId="20" borderId="0" xfId="0" applyFont="1" applyFill="1" applyAlignment="1">
      <alignment horizontal="center"/>
    </xf>
    <xf numFmtId="9" fontId="8" fillId="20" borderId="0" xfId="5" applyFont="1" applyFill="1" applyAlignment="1">
      <alignment horizontal="center"/>
    </xf>
    <xf numFmtId="9" fontId="8" fillId="0" borderId="0" xfId="5" applyFont="1" applyAlignment="1">
      <alignment horizontal="center"/>
    </xf>
    <xf numFmtId="9" fontId="8" fillId="0" borderId="0" xfId="0" applyNumberFormat="1" applyFont="1" applyAlignment="1">
      <alignment horizontal="center"/>
    </xf>
    <xf numFmtId="9" fontId="8" fillId="0" borderId="0" xfId="5" applyFont="1" applyAlignment="1">
      <alignment wrapText="1"/>
    </xf>
    <xf numFmtId="9" fontId="8" fillId="0" borderId="0" xfId="5" applyFont="1" applyAlignment="1">
      <alignment horizontal="center" wrapText="1"/>
    </xf>
    <xf numFmtId="1" fontId="8" fillId="0" borderId="0" xfId="0" applyNumberFormat="1" applyFont="1" applyAlignment="1">
      <alignment horizontal="center"/>
    </xf>
    <xf numFmtId="0" fontId="0" fillId="20" borderId="0" xfId="0" applyFill="1"/>
    <xf numFmtId="0" fontId="8" fillId="0" borderId="31" xfId="0" applyFont="1" applyFill="1" applyBorder="1" applyAlignment="1">
      <alignment horizontal="center" vertical="center"/>
    </xf>
    <xf numFmtId="1" fontId="8" fillId="0" borderId="0" xfId="0" applyNumberFormat="1" applyFont="1" applyFill="1" applyAlignment="1">
      <alignment horizontal="center"/>
    </xf>
    <xf numFmtId="9" fontId="8" fillId="0" borderId="0" xfId="5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0" borderId="0" xfId="0" applyFont="1" applyFill="1"/>
    <xf numFmtId="9" fontId="8" fillId="20" borderId="17" xfId="5" applyFont="1" applyFill="1" applyBorder="1" applyAlignment="1">
      <alignment horizontal="center"/>
    </xf>
    <xf numFmtId="9" fontId="8" fillId="20" borderId="17" xfId="0" applyNumberFormat="1" applyFont="1" applyFill="1" applyBorder="1" applyAlignment="1">
      <alignment horizontal="center"/>
    </xf>
    <xf numFmtId="9" fontId="8" fillId="20" borderId="0" xfId="0" applyNumberFormat="1" applyFont="1" applyFill="1" applyBorder="1" applyAlignment="1">
      <alignment horizontal="center"/>
    </xf>
    <xf numFmtId="0" fontId="5" fillId="0" borderId="45" xfId="0" applyFont="1" applyBorder="1" applyAlignment="1">
      <alignment wrapText="1"/>
    </xf>
    <xf numFmtId="0" fontId="54" fillId="0" borderId="45" xfId="0" applyFont="1" applyBorder="1" applyAlignment="1">
      <alignment wrapText="1"/>
    </xf>
    <xf numFmtId="0" fontId="54" fillId="0" borderId="0" xfId="0" applyFont="1"/>
    <xf numFmtId="9" fontId="54" fillId="20" borderId="0" xfId="0" applyNumberFormat="1" applyFont="1" applyFill="1" applyAlignment="1">
      <alignment horizontal="center"/>
    </xf>
    <xf numFmtId="0" fontId="54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8" fontId="8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1" fontId="8" fillId="6" borderId="3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8" fillId="0" borderId="0" xfId="0" applyFont="1" applyFill="1" applyBorder="1"/>
    <xf numFmtId="166" fontId="0" fillId="0" borderId="0" xfId="4" applyNumberFormat="1" applyFont="1" applyFill="1" applyBorder="1" applyAlignment="1">
      <alignment horizontal="center" vertical="center"/>
    </xf>
    <xf numFmtId="43" fontId="0" fillId="0" borderId="0" xfId="0" applyNumberFormat="1" applyFill="1" applyBorder="1"/>
    <xf numFmtId="167" fontId="8" fillId="0" borderId="0" xfId="0" applyNumberFormat="1" applyFont="1" applyFill="1" applyBorder="1" applyAlignment="1">
      <alignment horizontal="center" vertical="center" wrapText="1"/>
    </xf>
    <xf numFmtId="0" fontId="43" fillId="0" borderId="0" xfId="7" applyFill="1" applyBorder="1" applyAlignment="1">
      <alignment horizontal="center"/>
    </xf>
    <xf numFmtId="8" fontId="43" fillId="0" borderId="0" xfId="7" applyNumberFormat="1" applyFill="1" applyBorder="1" applyAlignment="1">
      <alignment horizontal="center"/>
    </xf>
    <xf numFmtId="0" fontId="8" fillId="0" borderId="45" xfId="0" applyFont="1" applyBorder="1" applyAlignment="1">
      <alignment horizontal="center" vertical="center"/>
    </xf>
    <xf numFmtId="0" fontId="0" fillId="20" borderId="0" xfId="0" applyFill="1" applyAlignment="1">
      <alignment horizontal="center"/>
    </xf>
    <xf numFmtId="0" fontId="0" fillId="20" borderId="0" xfId="0" applyFill="1" applyAlignment="1">
      <alignment horizontal="right"/>
    </xf>
    <xf numFmtId="41" fontId="0" fillId="20" borderId="0" xfId="0" applyNumberFormat="1" applyFill="1"/>
    <xf numFmtId="41" fontId="21" fillId="20" borderId="0" xfId="0" applyNumberFormat="1" applyFont="1" applyFill="1"/>
    <xf numFmtId="42" fontId="0" fillId="20" borderId="0" xfId="0" applyNumberFormat="1" applyFill="1"/>
    <xf numFmtId="42" fontId="21" fillId="0" borderId="0" xfId="0" applyNumberFormat="1" applyFont="1" applyFill="1" applyBorder="1"/>
    <xf numFmtId="0" fontId="0" fillId="0" borderId="0" xfId="0" applyAlignment="1">
      <alignment horizontal="left" wrapText="1"/>
    </xf>
    <xf numFmtId="0" fontId="54" fillId="20" borderId="0" xfId="0" applyFont="1" applyFill="1" applyAlignment="1">
      <alignment horizontal="center"/>
    </xf>
    <xf numFmtId="0" fontId="42" fillId="0" borderId="0" xfId="6" applyFill="1" applyAlignment="1">
      <alignment wrapText="1"/>
    </xf>
    <xf numFmtId="0" fontId="42" fillId="0" borderId="0" xfId="6" applyFill="1" applyAlignment="1">
      <alignment horizontal="center" wrapText="1"/>
    </xf>
    <xf numFmtId="0" fontId="5" fillId="0" borderId="0" xfId="0" applyFont="1" applyAlignment="1"/>
    <xf numFmtId="0" fontId="55" fillId="0" borderId="0" xfId="0" applyFont="1"/>
    <xf numFmtId="0" fontId="54" fillId="0" borderId="0" xfId="0" applyFont="1" applyAlignment="1">
      <alignment horizontal="left" wrapText="1"/>
    </xf>
    <xf numFmtId="9" fontId="0" fillId="0" borderId="0" xfId="5" applyFont="1" applyFill="1"/>
    <xf numFmtId="0" fontId="8" fillId="0" borderId="0" xfId="0" applyFont="1" applyAlignment="1">
      <alignment horizontal="center" vertical="center" wrapText="1"/>
    </xf>
    <xf numFmtId="8" fontId="0" fillId="6" borderId="0" xfId="0" applyNumberFormat="1" applyFill="1"/>
    <xf numFmtId="8" fontId="8" fillId="20" borderId="0" xfId="0" applyNumberFormat="1" applyFont="1" applyFill="1" applyBorder="1" applyAlignment="1">
      <alignment horizontal="center" vertical="center"/>
    </xf>
    <xf numFmtId="0" fontId="54" fillId="0" borderId="0" xfId="0" applyFont="1" applyAlignment="1">
      <alignment wrapText="1"/>
    </xf>
    <xf numFmtId="0" fontId="8" fillId="0" borderId="0" xfId="0" applyFont="1" applyAlignment="1">
      <alignment horizontal="left"/>
    </xf>
    <xf numFmtId="9" fontId="0" fillId="6" borderId="0" xfId="0" applyNumberFormat="1" applyFill="1"/>
    <xf numFmtId="42" fontId="8" fillId="3" borderId="0" xfId="2" applyNumberFormat="1" applyFill="1" applyBorder="1" applyProtection="1">
      <protection locked="0"/>
    </xf>
    <xf numFmtId="1" fontId="8" fillId="3" borderId="0" xfId="2" applyNumberFormat="1" applyFill="1" applyBorder="1" applyProtection="1">
      <protection hidden="1"/>
    </xf>
    <xf numFmtId="0" fontId="5" fillId="3" borderId="0" xfId="2" applyFont="1" applyFill="1" applyBorder="1" applyAlignment="1" applyProtection="1">
      <alignment horizontal="center"/>
      <protection hidden="1"/>
    </xf>
    <xf numFmtId="42" fontId="7" fillId="3" borderId="0" xfId="2" applyNumberFormat="1" applyFont="1" applyFill="1" applyBorder="1" applyProtection="1">
      <protection hidden="1"/>
    </xf>
    <xf numFmtId="0" fontId="5" fillId="0" borderId="77" xfId="2" applyFont="1" applyBorder="1" applyAlignment="1" applyProtection="1">
      <alignment horizontal="center"/>
      <protection hidden="1"/>
    </xf>
    <xf numFmtId="42" fontId="8" fillId="3" borderId="48" xfId="2" applyNumberFormat="1" applyFill="1" applyBorder="1" applyProtection="1">
      <protection hidden="1"/>
    </xf>
    <xf numFmtId="41" fontId="0" fillId="20" borderId="21" xfId="0" applyNumberFormat="1" applyFill="1" applyBorder="1"/>
    <xf numFmtId="42" fontId="0" fillId="20" borderId="0" xfId="0" applyNumberFormat="1" applyFill="1" applyBorder="1"/>
    <xf numFmtId="0" fontId="54" fillId="0" borderId="0" xfId="0" applyFont="1" applyFill="1" applyAlignment="1">
      <alignment horizontal="center"/>
    </xf>
    <xf numFmtId="43" fontId="54" fillId="20" borderId="0" xfId="4" applyFont="1" applyFill="1"/>
    <xf numFmtId="0" fontId="0" fillId="0" borderId="0" xfId="0" applyFill="1" applyAlignment="1">
      <alignment horizontal="center"/>
    </xf>
    <xf numFmtId="41" fontId="0" fillId="0" borderId="7" xfId="0" applyNumberFormat="1" applyFill="1" applyBorder="1"/>
    <xf numFmtId="41" fontId="21" fillId="0" borderId="0" xfId="0" applyNumberFormat="1" applyFont="1" applyFill="1"/>
    <xf numFmtId="0" fontId="5" fillId="3" borderId="9" xfId="2" applyFont="1" applyFill="1" applyBorder="1" applyAlignment="1">
      <alignment horizontal="center" shrinkToFit="1"/>
    </xf>
    <xf numFmtId="0" fontId="5" fillId="3" borderId="10" xfId="2" applyFont="1" applyFill="1" applyBorder="1" applyAlignment="1">
      <alignment horizontal="center" shrinkToFit="1"/>
    </xf>
    <xf numFmtId="0" fontId="5" fillId="3" borderId="11" xfId="2" applyFont="1" applyFill="1" applyBorder="1" applyAlignment="1">
      <alignment horizontal="center" shrinkToFit="1"/>
    </xf>
    <xf numFmtId="0" fontId="10" fillId="2" borderId="42" xfId="2" applyFont="1" applyFill="1" applyBorder="1" applyAlignment="1" applyProtection="1">
      <alignment horizontal="center" vertical="center" shrinkToFit="1"/>
      <protection hidden="1"/>
    </xf>
    <xf numFmtId="0" fontId="10" fillId="2" borderId="43" xfId="2" applyFont="1" applyFill="1" applyBorder="1" applyAlignment="1" applyProtection="1">
      <alignment horizontal="center" vertical="center" shrinkToFit="1"/>
      <protection hidden="1"/>
    </xf>
    <xf numFmtId="0" fontId="8" fillId="0" borderId="44" xfId="2" applyBorder="1" applyAlignment="1"/>
    <xf numFmtId="0" fontId="5" fillId="3" borderId="0" xfId="2" applyFont="1" applyFill="1" applyBorder="1" applyAlignment="1" applyProtection="1">
      <alignment horizontal="left"/>
      <protection hidden="1"/>
    </xf>
    <xf numFmtId="0" fontId="7" fillId="3" borderId="0" xfId="2" applyFont="1" applyFill="1" applyBorder="1" applyAlignment="1" applyProtection="1">
      <protection hidden="1"/>
    </xf>
    <xf numFmtId="0" fontId="5" fillId="0" borderId="9" xfId="2" applyFont="1" applyFill="1" applyBorder="1" applyAlignment="1">
      <alignment horizontal="center"/>
    </xf>
    <xf numFmtId="0" fontId="8" fillId="0" borderId="10" xfId="2" applyBorder="1" applyAlignment="1">
      <alignment horizontal="center"/>
    </xf>
    <xf numFmtId="0" fontId="8" fillId="0" borderId="13" xfId="2" applyBorder="1" applyAlignment="1">
      <alignment horizontal="center"/>
    </xf>
    <xf numFmtId="0" fontId="8" fillId="0" borderId="11" xfId="2" applyBorder="1" applyAlignment="1">
      <alignment horizontal="center"/>
    </xf>
    <xf numFmtId="0" fontId="3" fillId="2" borderId="42" xfId="2" applyFont="1" applyFill="1" applyBorder="1" applyAlignment="1" applyProtection="1">
      <alignment horizontal="center" vertical="center"/>
      <protection hidden="1"/>
    </xf>
    <xf numFmtId="0" fontId="8" fillId="0" borderId="43" xfId="2" applyBorder="1"/>
    <xf numFmtId="0" fontId="8" fillId="0" borderId="44" xfId="2" applyBorder="1"/>
    <xf numFmtId="0" fontId="0" fillId="3" borderId="35" xfId="0" applyFill="1" applyBorder="1" applyAlignment="1"/>
    <xf numFmtId="0" fontId="0" fillId="3" borderId="0" xfId="0" applyFill="1" applyBorder="1" applyAlignment="1"/>
    <xf numFmtId="0" fontId="9" fillId="3" borderId="22" xfId="0" applyFont="1" applyFill="1" applyBorder="1" applyAlignment="1">
      <alignment wrapText="1"/>
    </xf>
    <xf numFmtId="0" fontId="9" fillId="3" borderId="23" xfId="0" applyFont="1" applyFill="1" applyBorder="1" applyAlignment="1">
      <alignment wrapText="1"/>
    </xf>
    <xf numFmtId="0" fontId="9" fillId="3" borderId="20" xfId="0" applyFont="1" applyFill="1" applyBorder="1" applyAlignment="1">
      <alignment wrapText="1"/>
    </xf>
    <xf numFmtId="0" fontId="9" fillId="3" borderId="25" xfId="0" applyFont="1" applyFill="1" applyBorder="1" applyAlignment="1">
      <alignment wrapText="1"/>
    </xf>
    <xf numFmtId="0" fontId="0" fillId="3" borderId="35" xfId="0" applyFill="1" applyBorder="1" applyAlignment="1">
      <alignment shrinkToFit="1"/>
    </xf>
    <xf numFmtId="0" fontId="0" fillId="3" borderId="0" xfId="0" applyFill="1" applyBorder="1" applyAlignment="1">
      <alignment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44" fontId="0" fillId="16" borderId="0" xfId="0" applyNumberFormat="1" applyFill="1" applyAlignment="1">
      <alignment horizontal="center" wrapText="1"/>
    </xf>
    <xf numFmtId="0" fontId="5" fillId="3" borderId="0" xfId="0" applyFont="1" applyFill="1" applyBorder="1" applyAlignment="1" applyProtection="1">
      <alignment horizontal="left"/>
      <protection hidden="1"/>
    </xf>
    <xf numFmtId="0" fontId="7" fillId="3" borderId="0" xfId="0" applyFont="1" applyFill="1" applyBorder="1" applyAlignment="1" applyProtection="1">
      <protection hidden="1"/>
    </xf>
    <xf numFmtId="0" fontId="5" fillId="0" borderId="9" xfId="0" applyFont="1" applyFill="1" applyBorder="1" applyAlignment="1" applyProtection="1">
      <alignment horizontal="center" shrinkToFit="1"/>
      <protection hidden="1"/>
    </xf>
    <xf numFmtId="0" fontId="5" fillId="0" borderId="10" xfId="0" applyFont="1" applyFill="1" applyBorder="1" applyAlignment="1" applyProtection="1">
      <alignment horizontal="center" shrinkToFit="1"/>
      <protection hidden="1"/>
    </xf>
    <xf numFmtId="0" fontId="5" fillId="0" borderId="11" xfId="0" applyFont="1" applyFill="1" applyBorder="1" applyAlignment="1" applyProtection="1">
      <alignment horizontal="center" shrinkToFit="1"/>
      <protection hidden="1"/>
    </xf>
    <xf numFmtId="0" fontId="8" fillId="0" borderId="31" xfId="0" applyFont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5" fillId="0" borderId="45" xfId="0" applyFont="1" applyBorder="1" applyAlignment="1">
      <alignment vertical="center" wrapText="1"/>
    </xf>
    <xf numFmtId="0" fontId="54" fillId="0" borderId="41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/>
    </xf>
    <xf numFmtId="0" fontId="40" fillId="0" borderId="4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3" fontId="40" fillId="6" borderId="31" xfId="0" applyNumberFormat="1" applyFont="1" applyFill="1" applyBorder="1" applyAlignment="1">
      <alignment horizontal="center" vertical="center"/>
    </xf>
    <xf numFmtId="0" fontId="40" fillId="6" borderId="31" xfId="0" applyFont="1" applyFill="1" applyBorder="1" applyAlignment="1">
      <alignment horizontal="center" vertical="center"/>
    </xf>
    <xf numFmtId="3" fontId="31" fillId="6" borderId="31" xfId="0" applyNumberFormat="1" applyFont="1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40" fillId="15" borderId="0" xfId="0" applyFont="1" applyFill="1" applyAlignment="1">
      <alignment horizontal="center" vertical="center" wrapText="1"/>
    </xf>
    <xf numFmtId="0" fontId="0" fillId="0" borderId="0" xfId="0" applyAlignment="1"/>
    <xf numFmtId="0" fontId="40" fillId="0" borderId="72" xfId="0" applyFont="1" applyFill="1" applyBorder="1" applyAlignment="1">
      <alignment horizontal="center" vertical="center" wrapText="1"/>
    </xf>
    <xf numFmtId="0" fontId="0" fillId="0" borderId="73" xfId="0" applyFill="1" applyBorder="1" applyAlignment="1">
      <alignment horizontal="center" vertical="center"/>
    </xf>
    <xf numFmtId="0" fontId="40" fillId="15" borderId="4" xfId="0" applyFont="1" applyFill="1" applyBorder="1" applyAlignment="1">
      <alignment horizontal="center" wrapText="1"/>
    </xf>
    <xf numFmtId="0" fontId="0" fillId="15" borderId="0" xfId="0" applyFill="1" applyBorder="1" applyAlignment="1"/>
    <xf numFmtId="0" fontId="0" fillId="15" borderId="5" xfId="0" applyFill="1" applyBorder="1" applyAlignment="1"/>
    <xf numFmtId="0" fontId="40" fillId="0" borderId="74" xfId="0" applyFont="1" applyFill="1" applyBorder="1" applyAlignment="1">
      <alignment horizontal="center" vertical="center" wrapText="1"/>
    </xf>
    <xf numFmtId="0" fontId="40" fillId="0" borderId="65" xfId="0" applyFont="1" applyFill="1" applyBorder="1" applyAlignment="1">
      <alignment horizontal="center" vertical="center" wrapText="1"/>
    </xf>
    <xf numFmtId="0" fontId="40" fillId="0" borderId="70" xfId="0" applyFont="1" applyFill="1" applyBorder="1" applyAlignment="1">
      <alignment horizontal="center" vertical="center" wrapText="1"/>
    </xf>
    <xf numFmtId="0" fontId="40" fillId="6" borderId="42" xfId="0" applyFont="1" applyFill="1" applyBorder="1" applyAlignment="1">
      <alignment horizontal="center" vertical="center"/>
    </xf>
    <xf numFmtId="0" fontId="40" fillId="6" borderId="43" xfId="0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65" xfId="0" applyFill="1" applyBorder="1" applyAlignment="1">
      <alignment horizontal="center" vertical="center" wrapText="1"/>
    </xf>
    <xf numFmtId="0" fontId="0" fillId="0" borderId="70" xfId="0" applyFill="1" applyBorder="1" applyAlignment="1">
      <alignment horizontal="center" vertical="center" wrapText="1"/>
    </xf>
    <xf numFmtId="0" fontId="40" fillId="6" borderId="34" xfId="0" applyFont="1" applyFill="1" applyBorder="1" applyAlignment="1">
      <alignment horizontal="center" vertical="center"/>
    </xf>
    <xf numFmtId="0" fontId="40" fillId="6" borderId="19" xfId="0" applyFont="1" applyFill="1" applyBorder="1" applyAlignment="1">
      <alignment horizontal="center" vertical="center"/>
    </xf>
    <xf numFmtId="0" fontId="40" fillId="6" borderId="18" xfId="0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11" fillId="15" borderId="4" xfId="0" applyFont="1" applyFill="1" applyBorder="1" applyAlignment="1">
      <alignment vertical="center"/>
    </xf>
    <xf numFmtId="0" fontId="11" fillId="15" borderId="0" xfId="0" applyFont="1" applyFill="1" applyBorder="1" applyAlignment="1">
      <alignment vertical="center"/>
    </xf>
    <xf numFmtId="0" fontId="11" fillId="15" borderId="5" xfId="0" applyFont="1" applyFill="1" applyBorder="1" applyAlignment="1">
      <alignment vertical="center"/>
    </xf>
    <xf numFmtId="0" fontId="40" fillId="0" borderId="42" xfId="0" applyFont="1" applyFill="1" applyBorder="1" applyAlignment="1">
      <alignment horizontal="center" wrapText="1"/>
    </xf>
    <xf numFmtId="0" fontId="40" fillId="0" borderId="44" xfId="0" applyFont="1" applyFill="1" applyBorder="1" applyAlignment="1">
      <alignment horizontal="center" wrapText="1"/>
    </xf>
    <xf numFmtId="0" fontId="40" fillId="0" borderId="60" xfId="0" applyFont="1" applyFill="1" applyBorder="1" applyAlignment="1">
      <alignment horizontal="center" wrapText="1"/>
    </xf>
    <xf numFmtId="0" fontId="40" fillId="0" borderId="61" xfId="0" applyFont="1" applyFill="1" applyBorder="1" applyAlignment="1">
      <alignment horizontal="center" wrapText="1"/>
    </xf>
    <xf numFmtId="0" fontId="40" fillId="0" borderId="62" xfId="0" applyFont="1" applyFill="1" applyBorder="1" applyAlignment="1">
      <alignment horizontal="center" wrapText="1"/>
    </xf>
    <xf numFmtId="0" fontId="0" fillId="0" borderId="62" xfId="0" applyFill="1" applyBorder="1" applyAlignment="1">
      <alignment horizontal="center" wrapText="1"/>
    </xf>
    <xf numFmtId="0" fontId="40" fillId="0" borderId="62" xfId="0" applyFont="1" applyFill="1" applyBorder="1" applyAlignment="1">
      <alignment wrapText="1"/>
    </xf>
    <xf numFmtId="0" fontId="40" fillId="0" borderId="70" xfId="0" applyFont="1" applyFill="1" applyBorder="1" applyAlignment="1">
      <alignment horizontal="center" wrapText="1"/>
    </xf>
    <xf numFmtId="3" fontId="40" fillId="6" borderId="18" xfId="0" applyNumberFormat="1" applyFont="1" applyFill="1" applyBorder="1" applyAlignment="1">
      <alignment horizontal="center" vertical="center"/>
    </xf>
    <xf numFmtId="3" fontId="40" fillId="6" borderId="31" xfId="0" applyNumberFormat="1" applyFont="1" applyFill="1" applyBorder="1" applyAlignment="1">
      <alignment horizontal="center"/>
    </xf>
    <xf numFmtId="3" fontId="40" fillId="6" borderId="66" xfId="0" applyNumberFormat="1" applyFont="1" applyFill="1" applyBorder="1" applyAlignment="1">
      <alignment horizontal="center" vertical="center"/>
    </xf>
    <xf numFmtId="3" fontId="0" fillId="6" borderId="65" xfId="0" applyNumberFormat="1" applyFill="1" applyBorder="1" applyAlignment="1">
      <alignment horizontal="center"/>
    </xf>
    <xf numFmtId="0" fontId="40" fillId="0" borderId="4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4" fillId="0" borderId="45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8" fillId="0" borderId="48" xfId="0" applyFont="1" applyBorder="1" applyAlignment="1">
      <alignment horizontal="center" vertical="center"/>
    </xf>
    <xf numFmtId="0" fontId="0" fillId="0" borderId="41" xfId="0" applyBorder="1" applyAlignment="1">
      <alignment vertical="center" wrapText="1"/>
    </xf>
    <xf numFmtId="0" fontId="25" fillId="12" borderId="31" xfId="0" applyFont="1" applyFill="1" applyBorder="1" applyAlignment="1">
      <alignment horizontal="center" vertical="center"/>
    </xf>
    <xf numFmtId="0" fontId="26" fillId="12" borderId="31" xfId="0" applyFont="1" applyFill="1" applyBorder="1" applyAlignment="1">
      <alignment horizontal="center" vertical="center"/>
    </xf>
    <xf numFmtId="0" fontId="14" fillId="12" borderId="34" xfId="0" applyFont="1" applyFill="1" applyBorder="1" applyAlignment="1">
      <alignment horizontal="center"/>
    </xf>
    <xf numFmtId="0" fontId="14" fillId="12" borderId="31" xfId="0" applyFont="1" applyFill="1" applyBorder="1" applyAlignment="1">
      <alignment horizontal="center"/>
    </xf>
    <xf numFmtId="0" fontId="14" fillId="12" borderId="31" xfId="0" applyFont="1" applyFill="1" applyBorder="1" applyAlignment="1">
      <alignment horizontal="center" vertical="center" wrapText="1"/>
    </xf>
    <xf numFmtId="0" fontId="14" fillId="12" borderId="31" xfId="0" applyFont="1" applyFill="1" applyBorder="1" applyAlignment="1">
      <alignment horizontal="center" vertical="center"/>
    </xf>
    <xf numFmtId="0" fontId="29" fillId="0" borderId="38" xfId="0" applyFont="1" applyBorder="1" applyAlignment="1">
      <alignment horizontal="left"/>
    </xf>
    <xf numFmtId="0" fontId="29" fillId="0" borderId="27" xfId="0" applyFont="1" applyBorder="1" applyAlignment="1">
      <alignment horizontal="left"/>
    </xf>
    <xf numFmtId="0" fontId="29" fillId="0" borderId="48" xfId="0" applyFon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6" fillId="0" borderId="31" xfId="0" applyFont="1" applyFill="1" applyBorder="1" applyAlignment="1">
      <alignment vertical="center"/>
    </xf>
    <xf numFmtId="0" fontId="0" fillId="0" borderId="31" xfId="0" applyBorder="1" applyAlignment="1">
      <alignment vertical="center"/>
    </xf>
    <xf numFmtId="0" fontId="35" fillId="11" borderId="38" xfId="0" applyFont="1" applyFill="1" applyBorder="1" applyAlignment="1"/>
    <xf numFmtId="0" fontId="0" fillId="0" borderId="27" xfId="0" applyBorder="1" applyAlignment="1"/>
    <xf numFmtId="0" fontId="0" fillId="0" borderId="27" xfId="0" applyBorder="1"/>
    <xf numFmtId="0" fontId="0" fillId="0" borderId="48" xfId="0" applyBorder="1"/>
    <xf numFmtId="0" fontId="35" fillId="8" borderId="32" xfId="0" applyFont="1" applyFill="1" applyBorder="1" applyAlignment="1"/>
    <xf numFmtId="0" fontId="0" fillId="8" borderId="33" xfId="0" applyFill="1" applyBorder="1" applyAlignment="1"/>
    <xf numFmtId="0" fontId="0" fillId="8" borderId="27" xfId="0" applyFill="1" applyBorder="1" applyAlignment="1"/>
    <xf numFmtId="0" fontId="0" fillId="8" borderId="48" xfId="0" applyFill="1" applyBorder="1" applyAlignment="1"/>
    <xf numFmtId="0" fontId="0" fillId="0" borderId="48" xfId="0" applyBorder="1" applyAlignment="1"/>
    <xf numFmtId="0" fontId="35" fillId="8" borderId="38" xfId="0" applyFont="1" applyFill="1" applyBorder="1" applyAlignment="1"/>
    <xf numFmtId="0" fontId="36" fillId="0" borderId="31" xfId="0" applyFont="1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42" fillId="17" borderId="0" xfId="6" applyAlignment="1">
      <alignment horizontal="center" wrapText="1"/>
    </xf>
    <xf numFmtId="0" fontId="0" fillId="6" borderId="0" xfId="0" applyFill="1" applyAlignment="1">
      <alignment horizontal="center" wrapText="1"/>
    </xf>
    <xf numFmtId="0" fontId="42" fillId="17" borderId="0" xfId="6" applyAlignment="1">
      <alignment horizontal="left" wrapText="1"/>
    </xf>
    <xf numFmtId="37" fontId="31" fillId="0" borderId="0" xfId="0" applyNumberFormat="1" applyFont="1" applyAlignment="1" applyProtection="1">
      <alignment horizontal="center" wrapText="1"/>
    </xf>
    <xf numFmtId="0" fontId="32" fillId="0" borderId="0" xfId="0" applyFont="1" applyAlignment="1">
      <alignment horizontal="center" wrapText="1"/>
    </xf>
  </cellXfs>
  <cellStyles count="16">
    <cellStyle name="Comma" xfId="4" builtinId="3"/>
    <cellStyle name="Currency" xfId="1" builtinId="4"/>
    <cellStyle name="Currency 2" xfId="3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Good" xfId="6" builtinId="26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Normal" xfId="0" builtinId="0"/>
    <cellStyle name="Normal 2" xfId="2"/>
    <cellStyle name="Normal 3" xfId="7"/>
    <cellStyle name="Percent" xfId="5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33868</xdr:rowOff>
    </xdr:from>
    <xdr:to>
      <xdr:col>0</xdr:col>
      <xdr:colOff>448735</xdr:colOff>
      <xdr:row>0</xdr:row>
      <xdr:rowOff>440268</xdr:rowOff>
    </xdr:to>
    <xdr:pic>
      <xdr:nvPicPr>
        <xdr:cNvPr id="2" name="Picture 1" descr="UC2B_Logo.e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33868"/>
          <a:ext cx="406400" cy="406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584201</xdr:colOff>
      <xdr:row>0</xdr:row>
      <xdr:rowOff>8466</xdr:rowOff>
    </xdr:from>
    <xdr:to>
      <xdr:col>6</xdr:col>
      <xdr:colOff>989542</xdr:colOff>
      <xdr:row>3</xdr:row>
      <xdr:rowOff>43390</xdr:rowOff>
    </xdr:to>
    <xdr:pic>
      <xdr:nvPicPr>
        <xdr:cNvPr id="2" name="Picture 1" descr="UC2B_Logo.eps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99326" y="8466"/>
          <a:ext cx="462491" cy="5016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0</xdr:row>
      <xdr:rowOff>6350</xdr:rowOff>
    </xdr:from>
    <xdr:to>
      <xdr:col>6</xdr:col>
      <xdr:colOff>605366</xdr:colOff>
      <xdr:row>2</xdr:row>
      <xdr:rowOff>179916</xdr:rowOff>
    </xdr:to>
    <xdr:pic>
      <xdr:nvPicPr>
        <xdr:cNvPr id="2" name="Picture 1" descr="UC2B_Logo.eps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5" y="6350"/>
          <a:ext cx="491066" cy="497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AE166"/>
  <sheetViews>
    <sheetView topLeftCell="B27" workbookViewId="0">
      <selection activeCell="M45" sqref="M45"/>
    </sheetView>
  </sheetViews>
  <sheetFormatPr defaultColWidth="8.85546875" defaultRowHeight="15"/>
  <cols>
    <col min="2" max="2" width="37.85546875" customWidth="1"/>
    <col min="3" max="7" width="20.7109375" customWidth="1"/>
    <col min="8" max="8" width="15.42578125" customWidth="1"/>
    <col min="9" max="9" width="16.7109375" customWidth="1"/>
    <col min="10" max="10" width="15.28515625" customWidth="1"/>
    <col min="11" max="11" width="14.140625" customWidth="1"/>
    <col min="12" max="12" width="13.85546875" customWidth="1"/>
    <col min="16" max="31" width="8.85546875" style="5"/>
  </cols>
  <sheetData>
    <row r="1" spans="1:15" ht="15.75" thickBo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 s="5"/>
      <c r="B2" s="613" t="s">
        <v>40</v>
      </c>
      <c r="C2" s="14"/>
      <c r="D2" s="616"/>
      <c r="E2" s="616"/>
      <c r="F2" s="616"/>
      <c r="G2" s="616"/>
      <c r="H2" s="5"/>
      <c r="I2" s="5"/>
      <c r="J2" s="5"/>
      <c r="K2" s="5"/>
      <c r="L2" s="5"/>
      <c r="M2" s="5"/>
      <c r="N2" s="5"/>
      <c r="O2" s="5"/>
    </row>
    <row r="3" spans="1:15">
      <c r="A3" s="5"/>
      <c r="B3" s="614"/>
      <c r="C3" s="14"/>
      <c r="D3" s="616"/>
      <c r="E3" s="616"/>
      <c r="F3" s="616"/>
      <c r="G3" s="616"/>
      <c r="H3" s="5"/>
      <c r="I3" s="5"/>
      <c r="J3" s="5"/>
      <c r="K3" s="5"/>
      <c r="L3" s="5"/>
      <c r="M3" s="5"/>
      <c r="N3" s="5"/>
      <c r="O3" s="5"/>
    </row>
    <row r="4" spans="1:15" ht="16.5" thickBot="1">
      <c r="A4" s="5"/>
      <c r="B4" s="615"/>
      <c r="C4" s="15"/>
      <c r="D4" s="616"/>
      <c r="E4" s="616"/>
      <c r="F4" s="616"/>
      <c r="G4" s="616"/>
      <c r="H4" s="5"/>
      <c r="I4" s="5"/>
      <c r="J4" s="5"/>
      <c r="K4" s="5"/>
      <c r="L4" s="5"/>
      <c r="M4" s="5"/>
      <c r="N4" s="5"/>
      <c r="O4" s="5"/>
    </row>
    <row r="5" spans="1:15" ht="15.75" thickBot="1">
      <c r="A5" s="5"/>
      <c r="B5" s="13"/>
      <c r="C5" s="16"/>
      <c r="D5" s="617" t="s">
        <v>77</v>
      </c>
      <c r="E5" s="617"/>
      <c r="F5" s="617"/>
      <c r="G5" s="617"/>
      <c r="H5" s="5"/>
      <c r="I5" s="5"/>
      <c r="J5" s="5"/>
      <c r="K5" s="5"/>
      <c r="L5" s="5"/>
      <c r="M5" s="5"/>
      <c r="N5" s="5"/>
      <c r="O5" s="5"/>
    </row>
    <row r="6" spans="1:15" ht="15.75" thickBot="1">
      <c r="A6" s="5"/>
      <c r="B6" s="13"/>
      <c r="C6" s="610" t="s">
        <v>39</v>
      </c>
      <c r="D6" s="611"/>
      <c r="E6" s="611"/>
      <c r="F6" s="611"/>
      <c r="G6" s="612"/>
      <c r="H6" s="610" t="s">
        <v>39</v>
      </c>
      <c r="I6" s="611"/>
      <c r="J6" s="611"/>
      <c r="K6" s="611"/>
      <c r="L6" s="612"/>
      <c r="M6" s="5"/>
      <c r="N6" s="5"/>
      <c r="O6" s="5"/>
    </row>
    <row r="7" spans="1:15">
      <c r="A7" s="5"/>
      <c r="B7" s="13"/>
      <c r="C7" s="133" t="s">
        <v>78</v>
      </c>
      <c r="D7" s="134" t="s">
        <v>79</v>
      </c>
      <c r="E7" s="133" t="s">
        <v>80</v>
      </c>
      <c r="F7" s="134" t="s">
        <v>81</v>
      </c>
      <c r="G7" s="133" t="s">
        <v>82</v>
      </c>
      <c r="H7" s="133" t="s">
        <v>580</v>
      </c>
      <c r="I7" s="133" t="s">
        <v>581</v>
      </c>
      <c r="J7" s="133" t="s">
        <v>582</v>
      </c>
      <c r="K7" s="133" t="s">
        <v>583</v>
      </c>
      <c r="L7" s="133" t="s">
        <v>584</v>
      </c>
      <c r="M7" s="5"/>
      <c r="N7" s="5"/>
      <c r="O7" s="5"/>
    </row>
    <row r="8" spans="1:15">
      <c r="A8" s="5"/>
      <c r="B8" s="17" t="s">
        <v>41</v>
      </c>
      <c r="C8" s="135"/>
      <c r="D8" s="135"/>
      <c r="E8" s="60"/>
      <c r="F8" s="135"/>
      <c r="G8" s="135"/>
      <c r="H8" s="135"/>
      <c r="I8" s="135"/>
      <c r="J8" s="135"/>
      <c r="K8" s="135"/>
      <c r="L8" s="135"/>
      <c r="M8" s="5"/>
      <c r="N8" s="5"/>
      <c r="O8" s="5"/>
    </row>
    <row r="9" spans="1:15">
      <c r="A9" s="5"/>
      <c r="B9" s="18"/>
      <c r="C9" s="21"/>
      <c r="D9" s="21"/>
      <c r="E9" s="46"/>
      <c r="F9" s="21"/>
      <c r="G9" s="21"/>
      <c r="H9" s="21"/>
      <c r="I9" s="21"/>
      <c r="J9" s="21"/>
      <c r="K9" s="21"/>
      <c r="L9" s="21"/>
      <c r="M9" s="5"/>
      <c r="N9" s="5"/>
      <c r="O9" s="5"/>
    </row>
    <row r="10" spans="1:15">
      <c r="A10" s="5"/>
      <c r="B10" s="130" t="s">
        <v>123</v>
      </c>
      <c r="C10" s="21"/>
      <c r="D10" s="21"/>
      <c r="E10" s="46"/>
      <c r="F10" s="21"/>
      <c r="G10" s="21"/>
      <c r="H10" s="21"/>
      <c r="I10" s="21"/>
      <c r="J10" s="21"/>
      <c r="K10" s="21"/>
      <c r="L10" s="21"/>
      <c r="M10" s="5"/>
      <c r="N10" s="5"/>
      <c r="O10" s="5"/>
    </row>
    <row r="11" spans="1:15">
      <c r="A11" s="5"/>
      <c r="B11" s="63" t="s">
        <v>124</v>
      </c>
      <c r="C11" s="136">
        <f>+'Sources and Uses'!B30</f>
        <v>0</v>
      </c>
      <c r="D11" s="136">
        <f>+'Sources and Uses'!C30</f>
        <v>0</v>
      </c>
      <c r="E11" s="136">
        <f>+'Sources and Uses'!D30</f>
        <v>0</v>
      </c>
      <c r="F11" s="136">
        <f>+'Sources and Uses'!E30</f>
        <v>0</v>
      </c>
      <c r="G11" s="136">
        <f>+'Sources and Uses'!F30</f>
        <v>0</v>
      </c>
      <c r="H11" s="136">
        <f>+'Sources and Uses'!G30</f>
        <v>0</v>
      </c>
      <c r="I11" s="136">
        <f>+'Sources and Uses'!H30</f>
        <v>0</v>
      </c>
      <c r="J11" s="136">
        <f>+'Sources and Uses'!I30</f>
        <v>0</v>
      </c>
      <c r="K11" s="136">
        <f>+'Sources and Uses'!J30</f>
        <v>0</v>
      </c>
      <c r="L11" s="136">
        <f>+'Sources and Uses'!K30</f>
        <v>0</v>
      </c>
      <c r="M11" s="5"/>
      <c r="N11" s="5"/>
      <c r="O11" s="5"/>
    </row>
    <row r="12" spans="1:15">
      <c r="A12" s="5"/>
      <c r="B12" s="63" t="s">
        <v>125</v>
      </c>
      <c r="C12" s="185">
        <f>+'Sources and Uses'!B31</f>
        <v>179300</v>
      </c>
      <c r="D12" s="185">
        <f>+'Sources and Uses'!C31</f>
        <v>819700</v>
      </c>
      <c r="E12" s="185">
        <f>+'Sources and Uses'!D31</f>
        <v>1169400</v>
      </c>
      <c r="F12" s="185">
        <f>+'Sources and Uses'!E31</f>
        <v>1309600</v>
      </c>
      <c r="G12" s="185">
        <f>+'Sources and Uses'!F31</f>
        <v>1362000</v>
      </c>
      <c r="H12" s="185">
        <f>+'Sources and Uses'!G31</f>
        <v>1051000</v>
      </c>
      <c r="I12" s="185">
        <f>+'Sources and Uses'!H31</f>
        <v>1059800</v>
      </c>
      <c r="J12" s="185">
        <f>+'Sources and Uses'!I31</f>
        <v>1068500</v>
      </c>
      <c r="K12" s="185">
        <f>+'Sources and Uses'!J31</f>
        <v>1077300</v>
      </c>
      <c r="L12" s="185">
        <f>+'Sources and Uses'!K31</f>
        <v>1086000</v>
      </c>
      <c r="M12" s="5"/>
      <c r="N12" s="5"/>
      <c r="O12" s="5"/>
    </row>
    <row r="13" spans="1:15">
      <c r="A13" s="5"/>
      <c r="B13" s="63" t="s">
        <v>126</v>
      </c>
      <c r="C13" s="185">
        <f>+'Sources and Uses'!B32</f>
        <v>0</v>
      </c>
      <c r="D13" s="185">
        <f>+'Sources and Uses'!C32</f>
        <v>0</v>
      </c>
      <c r="E13" s="185">
        <f>+'Sources and Uses'!D32</f>
        <v>0</v>
      </c>
      <c r="F13" s="185">
        <f>+'Sources and Uses'!E32</f>
        <v>0</v>
      </c>
      <c r="G13" s="185">
        <f>+'Sources and Uses'!F32</f>
        <v>0</v>
      </c>
      <c r="H13" s="185">
        <f>+'Sources and Uses'!G32</f>
        <v>0</v>
      </c>
      <c r="I13" s="185">
        <f>+'Sources and Uses'!H32</f>
        <v>0</v>
      </c>
      <c r="J13" s="185">
        <f>+'Sources and Uses'!I32</f>
        <v>0</v>
      </c>
      <c r="K13" s="185">
        <f>+'Sources and Uses'!J32</f>
        <v>0</v>
      </c>
      <c r="L13" s="185">
        <f>+'Sources and Uses'!K32</f>
        <v>0</v>
      </c>
      <c r="M13" s="5"/>
      <c r="N13" s="5"/>
      <c r="O13" s="5"/>
    </row>
    <row r="14" spans="1:15">
      <c r="A14" s="5"/>
      <c r="B14" s="138" t="s">
        <v>127</v>
      </c>
      <c r="C14" s="185">
        <f>+'Sources and Uses'!B39</f>
        <v>0</v>
      </c>
      <c r="D14" s="185">
        <f>+'Sources and Uses'!C39</f>
        <v>146400</v>
      </c>
      <c r="E14" s="185">
        <f>+'Sources and Uses'!D39</f>
        <v>146400</v>
      </c>
      <c r="F14" s="185">
        <f>+'Sources and Uses'!E39</f>
        <v>146400</v>
      </c>
      <c r="G14" s="185">
        <f>+'Sources and Uses'!F39</f>
        <v>146400</v>
      </c>
      <c r="H14" s="185">
        <f>+'Sources and Uses'!G39</f>
        <v>146400</v>
      </c>
      <c r="I14" s="185">
        <f>+'Sources and Uses'!H39</f>
        <v>146400</v>
      </c>
      <c r="J14" s="185">
        <f>+'Sources and Uses'!I39</f>
        <v>146400</v>
      </c>
      <c r="K14" s="185">
        <f>+'Sources and Uses'!J39</f>
        <v>146400</v>
      </c>
      <c r="L14" s="185">
        <f>+'Sources and Uses'!K39</f>
        <v>146400</v>
      </c>
      <c r="M14" s="5"/>
      <c r="N14" s="5"/>
      <c r="O14" s="5"/>
    </row>
    <row r="15" spans="1:15">
      <c r="A15" s="5"/>
      <c r="B15" s="138" t="s">
        <v>128</v>
      </c>
      <c r="C15" s="185">
        <f>+'Sources and Uses'!B41</f>
        <v>0</v>
      </c>
      <c r="D15" s="185">
        <f>+'Sources and Uses'!C41</f>
        <v>0</v>
      </c>
      <c r="E15" s="185">
        <f>+'Sources and Uses'!D41</f>
        <v>0</v>
      </c>
      <c r="F15" s="185">
        <f>+'Sources and Uses'!E41</f>
        <v>0</v>
      </c>
      <c r="G15" s="185">
        <f>+'Sources and Uses'!F41</f>
        <v>0</v>
      </c>
      <c r="H15" s="185">
        <f>+'Sources and Uses'!G41</f>
        <v>0</v>
      </c>
      <c r="I15" s="185">
        <f>+'Sources and Uses'!H41</f>
        <v>0</v>
      </c>
      <c r="J15" s="185">
        <f>+'Sources and Uses'!I41</f>
        <v>0</v>
      </c>
      <c r="K15" s="185">
        <f>+'Sources and Uses'!J41</f>
        <v>0</v>
      </c>
      <c r="L15" s="185">
        <f>+'Sources and Uses'!K41</f>
        <v>0</v>
      </c>
      <c r="M15" s="5"/>
      <c r="N15" s="5"/>
      <c r="O15" s="5"/>
    </row>
    <row r="16" spans="1:15">
      <c r="A16" s="5"/>
      <c r="B16" s="138" t="s">
        <v>129</v>
      </c>
      <c r="C16" s="185">
        <f>+'Sources and Uses'!B42</f>
        <v>0</v>
      </c>
      <c r="D16" s="185">
        <f>+'Sources and Uses'!C42</f>
        <v>0</v>
      </c>
      <c r="E16" s="185">
        <f>+'Sources and Uses'!D42</f>
        <v>0</v>
      </c>
      <c r="F16" s="185">
        <f>+'Sources and Uses'!E42</f>
        <v>0</v>
      </c>
      <c r="G16" s="185">
        <f>+'Sources and Uses'!F42</f>
        <v>0</v>
      </c>
      <c r="H16" s="185">
        <f>+'Sources and Uses'!G42</f>
        <v>0</v>
      </c>
      <c r="I16" s="185">
        <f>+'Sources and Uses'!H42</f>
        <v>0</v>
      </c>
      <c r="J16" s="185">
        <f>+'Sources and Uses'!I42</f>
        <v>0</v>
      </c>
      <c r="K16" s="185">
        <f>+'Sources and Uses'!J42</f>
        <v>0</v>
      </c>
      <c r="L16" s="185">
        <f>+'Sources and Uses'!K42</f>
        <v>0</v>
      </c>
      <c r="M16" s="5"/>
      <c r="N16" s="5"/>
      <c r="O16" s="5"/>
    </row>
    <row r="17" spans="1:15">
      <c r="A17" s="5"/>
      <c r="B17" s="63" t="s">
        <v>130</v>
      </c>
      <c r="C17" s="185">
        <f>+'Sources and Uses'!B43+'Sources and Uses'!B44+'Sources and Uses'!B45+'Sources and Uses'!B46</f>
        <v>4000</v>
      </c>
      <c r="D17" s="185">
        <f>+'Sources and Uses'!C43+'Sources and Uses'!C44+'Sources and Uses'!C45+'Sources and Uses'!C46</f>
        <v>4000</v>
      </c>
      <c r="E17" s="185">
        <f>+'Sources and Uses'!D43+'Sources and Uses'!D44+'Sources and Uses'!D45+'Sources and Uses'!D46</f>
        <v>8000</v>
      </c>
      <c r="F17" s="185">
        <f>+'Sources and Uses'!E43+'Sources and Uses'!E44+'Sources and Uses'!E45+'Sources and Uses'!E46</f>
        <v>8000</v>
      </c>
      <c r="G17" s="185">
        <f>+'Sources and Uses'!F43+'Sources and Uses'!F44+'Sources and Uses'!F45+'Sources and Uses'!F46</f>
        <v>0</v>
      </c>
      <c r="H17" s="185">
        <f>+'Sources and Uses'!G43+'Sources and Uses'!G44+'Sources and Uses'!G45+'Sources and Uses'!G46</f>
        <v>2000</v>
      </c>
      <c r="I17" s="185">
        <f>+'Sources and Uses'!H43+'Sources and Uses'!H44+'Sources and Uses'!H45+'Sources and Uses'!H46</f>
        <v>2000</v>
      </c>
      <c r="J17" s="185">
        <f>+'Sources and Uses'!I43+'Sources and Uses'!I44+'Sources and Uses'!I45+'Sources and Uses'!I46</f>
        <v>2000</v>
      </c>
      <c r="K17" s="185">
        <f>+'Sources and Uses'!J43+'Sources and Uses'!J44+'Sources and Uses'!J45+'Sources and Uses'!J46</f>
        <v>2000</v>
      </c>
      <c r="L17" s="185">
        <f>+'Sources and Uses'!K43+'Sources and Uses'!K44+'Sources and Uses'!K45+'Sources and Uses'!K46</f>
        <v>2000</v>
      </c>
      <c r="M17" s="5"/>
      <c r="N17" s="5"/>
      <c r="O17" s="5"/>
    </row>
    <row r="18" spans="1:15">
      <c r="A18" s="5"/>
      <c r="B18" s="63" t="s">
        <v>131</v>
      </c>
      <c r="C18" s="185">
        <f>+'Sources and Uses'!B49</f>
        <v>0</v>
      </c>
      <c r="D18" s="185">
        <f>+'Sources and Uses'!C49</f>
        <v>0</v>
      </c>
      <c r="E18" s="185">
        <f>+'Sources and Uses'!D49</f>
        <v>0</v>
      </c>
      <c r="F18" s="185">
        <f>+'Sources and Uses'!E49</f>
        <v>0</v>
      </c>
      <c r="G18" s="185">
        <f>+'Sources and Uses'!F49</f>
        <v>0</v>
      </c>
      <c r="H18" s="185">
        <f>+'Sources and Uses'!G49</f>
        <v>0</v>
      </c>
      <c r="I18" s="185">
        <f>+'Sources and Uses'!H49</f>
        <v>0</v>
      </c>
      <c r="J18" s="185">
        <f>+'Sources and Uses'!I49</f>
        <v>0</v>
      </c>
      <c r="K18" s="185">
        <f>+'Sources and Uses'!J49</f>
        <v>0</v>
      </c>
      <c r="L18" s="185">
        <f>+'Sources and Uses'!K49</f>
        <v>0</v>
      </c>
      <c r="M18" s="5"/>
      <c r="N18" s="5"/>
      <c r="O18" s="5"/>
    </row>
    <row r="19" spans="1:15">
      <c r="A19" s="5"/>
      <c r="B19" s="461" t="s">
        <v>170</v>
      </c>
      <c r="C19" s="185">
        <f>+'Cash Flow Statement'!E40</f>
        <v>6209417</v>
      </c>
      <c r="D19" s="185">
        <f>+'Cash Flow Statement'!F40</f>
        <v>16284542</v>
      </c>
      <c r="E19" s="185">
        <f>+'Cash Flow Statement'!G40</f>
        <v>0</v>
      </c>
      <c r="F19" s="185">
        <f>+'Cash Flow Statement'!H40</f>
        <v>0</v>
      </c>
      <c r="G19" s="185">
        <f>+'Cash Flow Statement'!I40</f>
        <v>0</v>
      </c>
      <c r="H19" s="185">
        <f>+'Cash Flow Statement'!O40</f>
        <v>0</v>
      </c>
      <c r="I19" s="185">
        <f>+'Cash Flow Statement'!P40</f>
        <v>0</v>
      </c>
      <c r="J19" s="185">
        <f>+'Cash Flow Statement'!Q40</f>
        <v>0</v>
      </c>
      <c r="K19" s="185">
        <f>+'Cash Flow Statement'!R40</f>
        <v>0</v>
      </c>
      <c r="L19" s="185">
        <f>+'Cash Flow Statement'!S40</f>
        <v>0</v>
      </c>
      <c r="M19" s="5"/>
      <c r="N19" s="5"/>
      <c r="O19" s="5"/>
    </row>
    <row r="20" spans="1:15">
      <c r="A20" s="5"/>
      <c r="B20" s="461" t="s">
        <v>346</v>
      </c>
      <c r="C20" s="185">
        <f>+'Cash Flow Statement'!E41</f>
        <v>4522418</v>
      </c>
      <c r="D20" s="185">
        <f>+'Cash Flow Statement'!F41</f>
        <v>2329731</v>
      </c>
      <c r="E20" s="185">
        <f>+'Cash Flow Statement'!G41</f>
        <v>0</v>
      </c>
      <c r="F20" s="185">
        <f>+'Cash Flow Statement'!H41</f>
        <v>0</v>
      </c>
      <c r="G20" s="185">
        <f>+'Cash Flow Statement'!I41</f>
        <v>0</v>
      </c>
      <c r="H20" s="185">
        <f>+'Cash Flow Statement'!O41</f>
        <v>0</v>
      </c>
      <c r="I20" s="185">
        <f>+'Cash Flow Statement'!P41</f>
        <v>0</v>
      </c>
      <c r="J20" s="185">
        <f>+'Cash Flow Statement'!Q41</f>
        <v>0</v>
      </c>
      <c r="K20" s="185">
        <f>+'Cash Flow Statement'!R41</f>
        <v>0</v>
      </c>
      <c r="L20" s="185">
        <f>+'Cash Flow Statement'!S41</f>
        <v>0</v>
      </c>
      <c r="M20" s="5"/>
      <c r="N20" s="5"/>
      <c r="O20" s="5"/>
    </row>
    <row r="21" spans="1:15">
      <c r="A21" s="5"/>
      <c r="B21" s="63" t="s">
        <v>132</v>
      </c>
      <c r="C21" s="185">
        <f>+'Sources and Uses'!B52</f>
        <v>10800</v>
      </c>
      <c r="D21" s="185">
        <f>+'Sources and Uses'!C52</f>
        <v>58000</v>
      </c>
      <c r="E21" s="185">
        <f>+'Sources and Uses'!D52</f>
        <v>78900</v>
      </c>
      <c r="F21" s="185">
        <f>+'Sources and Uses'!E52</f>
        <v>87400</v>
      </c>
      <c r="G21" s="185">
        <f>+'Sources and Uses'!F52</f>
        <v>90500</v>
      </c>
      <c r="H21" s="185">
        <f>+'Sources and Uses'!G52</f>
        <v>71800</v>
      </c>
      <c r="I21" s="185">
        <f>+'Sources and Uses'!H52</f>
        <v>72400</v>
      </c>
      <c r="J21" s="185">
        <f>+'Sources and Uses'!I52</f>
        <v>72900</v>
      </c>
      <c r="K21" s="185">
        <f>+'Sources and Uses'!J52</f>
        <v>73400</v>
      </c>
      <c r="L21" s="185">
        <f>+'Sources and Uses'!K52</f>
        <v>73900</v>
      </c>
      <c r="M21" s="5"/>
      <c r="N21" s="5"/>
      <c r="O21" s="5"/>
    </row>
    <row r="22" spans="1:15">
      <c r="A22" s="5"/>
      <c r="B22" s="138" t="s">
        <v>203</v>
      </c>
      <c r="C22" s="185">
        <f>+'Sources and Uses'!B57</f>
        <v>33660</v>
      </c>
      <c r="D22" s="185">
        <f>+'Sources and Uses'!C57</f>
        <v>102000</v>
      </c>
      <c r="E22" s="185">
        <f>+'Sources and Uses'!D57</f>
        <v>102000</v>
      </c>
      <c r="F22" s="185">
        <f>+'Sources and Uses'!E57</f>
        <v>102000</v>
      </c>
      <c r="G22" s="185">
        <f>+'Sources and Uses'!F57</f>
        <v>102000</v>
      </c>
      <c r="H22" s="185">
        <f>+'Sources and Uses'!G57</f>
        <v>0</v>
      </c>
      <c r="I22" s="185">
        <f>+'Sources and Uses'!H57</f>
        <v>0</v>
      </c>
      <c r="J22" s="185">
        <f>+'Sources and Uses'!I57</f>
        <v>0</v>
      </c>
      <c r="K22" s="185">
        <f>+'Sources and Uses'!J57</f>
        <v>0</v>
      </c>
      <c r="L22" s="185">
        <f>+'Sources and Uses'!K57</f>
        <v>0</v>
      </c>
      <c r="M22" s="5"/>
      <c r="N22" s="5"/>
      <c r="O22" s="5"/>
    </row>
    <row r="23" spans="1:15">
      <c r="A23" s="5"/>
      <c r="B23" s="138" t="s">
        <v>341</v>
      </c>
      <c r="C23" s="185">
        <f>+'Sources and Uses'!B58</f>
        <v>42500</v>
      </c>
      <c r="D23" s="185">
        <f>+'Sources and Uses'!C58</f>
        <v>175100</v>
      </c>
      <c r="E23" s="185">
        <f>+'Sources and Uses'!D58</f>
        <v>0</v>
      </c>
      <c r="F23" s="185">
        <f>+'Sources and Uses'!E58</f>
        <v>0</v>
      </c>
      <c r="G23" s="185">
        <f>+'Sources and Uses'!F58</f>
        <v>0</v>
      </c>
      <c r="H23" s="185">
        <f>+'Sources and Uses'!G58</f>
        <v>0</v>
      </c>
      <c r="I23" s="185">
        <f>+'Sources and Uses'!H58</f>
        <v>0</v>
      </c>
      <c r="J23" s="185">
        <f>+'Sources and Uses'!I58</f>
        <v>0</v>
      </c>
      <c r="K23" s="185">
        <f>+'Sources and Uses'!J58</f>
        <v>0</v>
      </c>
      <c r="L23" s="185">
        <f>+'Sources and Uses'!K58</f>
        <v>0</v>
      </c>
      <c r="M23" s="5"/>
      <c r="N23" s="5"/>
      <c r="O23" s="5"/>
    </row>
    <row r="24" spans="1:15">
      <c r="A24" s="5"/>
      <c r="B24" s="138" t="s">
        <v>133</v>
      </c>
      <c r="C24" s="185">
        <f>+'Sources and Uses'!B59</f>
        <v>-3600</v>
      </c>
      <c r="D24" s="185">
        <f>+'Sources and Uses'!C59</f>
        <v>-19300</v>
      </c>
      <c r="E24" s="185">
        <f>+'Sources and Uses'!D59</f>
        <v>-26300</v>
      </c>
      <c r="F24" s="185">
        <f>+'Sources and Uses'!E59</f>
        <v>-29100</v>
      </c>
      <c r="G24" s="185">
        <f>+'Sources and Uses'!F59</f>
        <v>-30200</v>
      </c>
      <c r="H24" s="185">
        <f>+'Sources and Uses'!G59</f>
        <v>-23900</v>
      </c>
      <c r="I24" s="185">
        <f>+'Sources and Uses'!H59</f>
        <v>-24100</v>
      </c>
      <c r="J24" s="185">
        <f>+'Sources and Uses'!I59</f>
        <v>-24300</v>
      </c>
      <c r="K24" s="185">
        <f>+'Sources and Uses'!J59</f>
        <v>-24500</v>
      </c>
      <c r="L24" s="185">
        <f>+'Sources and Uses'!K59</f>
        <v>-24600</v>
      </c>
      <c r="M24" s="5"/>
      <c r="N24" s="5"/>
      <c r="O24" s="5"/>
    </row>
    <row r="25" spans="1:15">
      <c r="A25" s="5"/>
      <c r="B25" s="139"/>
      <c r="C25" s="140"/>
      <c r="D25" s="140"/>
      <c r="E25" s="141"/>
      <c r="F25" s="140"/>
      <c r="G25" s="140"/>
      <c r="H25" s="140"/>
      <c r="I25" s="140"/>
      <c r="J25" s="140"/>
      <c r="K25" s="140"/>
      <c r="L25" s="140"/>
      <c r="M25" s="5"/>
      <c r="N25" s="5"/>
      <c r="O25" s="5"/>
    </row>
    <row r="26" spans="1:15">
      <c r="A26" s="5"/>
      <c r="B26" s="142" t="s">
        <v>134</v>
      </c>
      <c r="C26" s="136">
        <f>SUM(C11:C24)</f>
        <v>10998495</v>
      </c>
      <c r="D26" s="136">
        <f t="shared" ref="D26:G26" si="0">SUM(D11:D24)</f>
        <v>19900173</v>
      </c>
      <c r="E26" s="136">
        <f t="shared" si="0"/>
        <v>1478400</v>
      </c>
      <c r="F26" s="136">
        <f t="shared" si="0"/>
        <v>1624300</v>
      </c>
      <c r="G26" s="136">
        <f t="shared" si="0"/>
        <v>1670700</v>
      </c>
      <c r="H26" s="136">
        <f t="shared" ref="H26:L26" si="1">SUM(H11:H24)</f>
        <v>1247300</v>
      </c>
      <c r="I26" s="136">
        <f t="shared" si="1"/>
        <v>1256500</v>
      </c>
      <c r="J26" s="136">
        <f t="shared" si="1"/>
        <v>1265500</v>
      </c>
      <c r="K26" s="136">
        <f t="shared" si="1"/>
        <v>1274600</v>
      </c>
      <c r="L26" s="136">
        <f t="shared" si="1"/>
        <v>1283700</v>
      </c>
      <c r="M26" s="5"/>
      <c r="N26" s="5"/>
      <c r="O26" s="5"/>
    </row>
    <row r="27" spans="1:15">
      <c r="A27" s="5"/>
      <c r="B27" s="67"/>
      <c r="C27" s="126"/>
      <c r="D27" s="126"/>
      <c r="E27" s="127"/>
      <c r="F27" s="126"/>
      <c r="G27" s="126"/>
      <c r="H27" s="126"/>
      <c r="I27" s="126"/>
      <c r="J27" s="126"/>
      <c r="K27" s="126"/>
      <c r="L27" s="126"/>
      <c r="M27" s="5"/>
      <c r="N27" s="5"/>
      <c r="O27" s="5"/>
    </row>
    <row r="28" spans="1:15">
      <c r="A28" s="5"/>
      <c r="B28" s="75" t="s">
        <v>135</v>
      </c>
      <c r="C28" s="126"/>
      <c r="D28" s="126"/>
      <c r="E28" s="127"/>
      <c r="F28" s="126"/>
      <c r="G28" s="126"/>
      <c r="H28" s="126"/>
      <c r="I28" s="126"/>
      <c r="J28" s="126"/>
      <c r="K28" s="126"/>
      <c r="L28" s="126"/>
      <c r="M28" s="5"/>
      <c r="N28" s="5"/>
      <c r="O28" s="5"/>
    </row>
    <row r="29" spans="1:15">
      <c r="A29" s="5"/>
      <c r="B29" s="18"/>
      <c r="C29" s="128"/>
      <c r="D29" s="128"/>
      <c r="E29" s="129"/>
      <c r="F29" s="128"/>
      <c r="G29" s="128"/>
      <c r="H29" s="128"/>
      <c r="I29" s="128"/>
      <c r="J29" s="128"/>
      <c r="K29" s="128"/>
      <c r="L29" s="128"/>
      <c r="M29" s="5"/>
      <c r="N29" s="5"/>
      <c r="O29" s="5"/>
    </row>
    <row r="30" spans="1:15">
      <c r="A30" s="5"/>
      <c r="B30" s="130" t="s">
        <v>136</v>
      </c>
      <c r="C30" s="131">
        <f>+'Sources and Uses'!B77</f>
        <v>54660</v>
      </c>
      <c r="D30" s="131">
        <f>+'Sources and Uses'!C77</f>
        <v>165000</v>
      </c>
      <c r="E30" s="131">
        <f>+'Sources and Uses'!D77</f>
        <v>186000</v>
      </c>
      <c r="F30" s="131">
        <f>+'Sources and Uses'!E77</f>
        <v>186000</v>
      </c>
      <c r="G30" s="131">
        <f>+'Sources and Uses'!F77</f>
        <v>186000</v>
      </c>
      <c r="H30" s="131">
        <f>+'Sources and Uses'!G77</f>
        <v>186000</v>
      </c>
      <c r="I30" s="131">
        <f>+'Sources and Uses'!H77</f>
        <v>186000</v>
      </c>
      <c r="J30" s="131">
        <f>+'Sources and Uses'!I77</f>
        <v>186000</v>
      </c>
      <c r="K30" s="131">
        <f>+'Sources and Uses'!J77</f>
        <v>186000</v>
      </c>
      <c r="L30" s="131">
        <f>+'Sources and Uses'!K77</f>
        <v>186000</v>
      </c>
      <c r="M30" s="5"/>
      <c r="N30" s="5"/>
      <c r="O30" s="5"/>
    </row>
    <row r="31" spans="1:15">
      <c r="A31" s="5"/>
      <c r="B31" s="143" t="s">
        <v>137</v>
      </c>
      <c r="C31" s="144">
        <f>+'Sources and Uses'!B93</f>
        <v>75000</v>
      </c>
      <c r="D31" s="144">
        <f>+'Sources and Uses'!C93</f>
        <v>362600</v>
      </c>
      <c r="E31" s="144">
        <f>+'Sources and Uses'!D93</f>
        <v>440400</v>
      </c>
      <c r="F31" s="144">
        <f>+'Sources and Uses'!E93</f>
        <v>445800</v>
      </c>
      <c r="G31" s="144">
        <f>+'Sources and Uses'!F93</f>
        <v>451400</v>
      </c>
      <c r="H31" s="144">
        <f>+'Sources and Uses'!G93</f>
        <v>457100</v>
      </c>
      <c r="I31" s="144">
        <f>+'Sources and Uses'!H93</f>
        <v>463000</v>
      </c>
      <c r="J31" s="144">
        <f>+'Sources and Uses'!I93</f>
        <v>469100</v>
      </c>
      <c r="K31" s="144">
        <f>+'Sources and Uses'!J93</f>
        <v>475400</v>
      </c>
      <c r="L31" s="144">
        <f>+'Sources and Uses'!K93</f>
        <v>481900</v>
      </c>
      <c r="M31" s="5"/>
      <c r="N31" s="5"/>
      <c r="O31" s="5"/>
    </row>
    <row r="32" spans="1:15">
      <c r="A32" s="5"/>
      <c r="B32" s="143" t="s">
        <v>138</v>
      </c>
      <c r="C32" s="144">
        <f>+'Sources and Uses'!B101</f>
        <v>6000</v>
      </c>
      <c r="D32" s="144">
        <f>+'Sources and Uses'!C101</f>
        <v>12000</v>
      </c>
      <c r="E32" s="144">
        <f>+'Sources and Uses'!D101</f>
        <v>15000</v>
      </c>
      <c r="F32" s="144">
        <f>+'Sources and Uses'!E101</f>
        <v>18000</v>
      </c>
      <c r="G32" s="144">
        <f>+'Sources and Uses'!F101</f>
        <v>21000</v>
      </c>
      <c r="H32" s="144">
        <f>+'Sources and Uses'!G101</f>
        <v>21000</v>
      </c>
      <c r="I32" s="144">
        <f>+'Sources and Uses'!H101</f>
        <v>21000</v>
      </c>
      <c r="J32" s="144">
        <f>+'Sources and Uses'!I101</f>
        <v>21000</v>
      </c>
      <c r="K32" s="144">
        <f>+'Sources and Uses'!J101</f>
        <v>21000</v>
      </c>
      <c r="L32" s="144">
        <f>+'Sources and Uses'!K101</f>
        <v>21000</v>
      </c>
      <c r="M32" s="5"/>
      <c r="N32" s="5"/>
      <c r="O32" s="5"/>
    </row>
    <row r="33" spans="1:15">
      <c r="A33" s="5"/>
      <c r="B33" s="143" t="s">
        <v>139</v>
      </c>
      <c r="C33" s="144">
        <f>+'Sources and Uses'!B109</f>
        <v>6000</v>
      </c>
      <c r="D33" s="144">
        <f>+'Sources and Uses'!C109</f>
        <v>12000</v>
      </c>
      <c r="E33" s="144">
        <f>+'Sources and Uses'!D109</f>
        <v>12000</v>
      </c>
      <c r="F33" s="144">
        <f>+'Sources and Uses'!E109</f>
        <v>12000</v>
      </c>
      <c r="G33" s="144">
        <f>+'Sources and Uses'!F109</f>
        <v>12000</v>
      </c>
      <c r="H33" s="144">
        <f>+'Sources and Uses'!G109</f>
        <v>12000</v>
      </c>
      <c r="I33" s="144">
        <f>+'Sources and Uses'!H109</f>
        <v>12000</v>
      </c>
      <c r="J33" s="144">
        <f>+'Sources and Uses'!I109</f>
        <v>12000</v>
      </c>
      <c r="K33" s="144">
        <f>+'Sources and Uses'!J109</f>
        <v>12000</v>
      </c>
      <c r="L33" s="144">
        <f>+'Sources and Uses'!K109</f>
        <v>12000</v>
      </c>
      <c r="M33" s="5"/>
      <c r="N33" s="5"/>
      <c r="O33" s="5"/>
    </row>
    <row r="34" spans="1:15">
      <c r="A34" s="5"/>
      <c r="B34" s="143" t="s">
        <v>140</v>
      </c>
      <c r="C34" s="144">
        <f>+'Sources and Uses'!B115</f>
        <v>3600</v>
      </c>
      <c r="D34" s="144">
        <f>+'Sources and Uses'!C115</f>
        <v>19300</v>
      </c>
      <c r="E34" s="144">
        <f>+'Sources and Uses'!D115</f>
        <v>26300</v>
      </c>
      <c r="F34" s="144">
        <f>+'Sources and Uses'!E115</f>
        <v>29100</v>
      </c>
      <c r="G34" s="144">
        <f>+'Sources and Uses'!F115</f>
        <v>30200</v>
      </c>
      <c r="H34" s="144">
        <f>+'Sources and Uses'!G115</f>
        <v>23900</v>
      </c>
      <c r="I34" s="144">
        <f>+'Sources and Uses'!H115</f>
        <v>24100</v>
      </c>
      <c r="J34" s="144">
        <f>+'Sources and Uses'!I115</f>
        <v>24300</v>
      </c>
      <c r="K34" s="144">
        <f>+'Sources and Uses'!J115</f>
        <v>24500</v>
      </c>
      <c r="L34" s="144">
        <f>+'Sources and Uses'!K115</f>
        <v>24600</v>
      </c>
      <c r="M34" s="5"/>
      <c r="N34" s="5"/>
      <c r="O34" s="5"/>
    </row>
    <row r="35" spans="1:15">
      <c r="A35" s="5"/>
      <c r="B35" s="143" t="s">
        <v>47</v>
      </c>
      <c r="C35" s="132">
        <f>+'Sources and Uses'!B121</f>
        <v>27800</v>
      </c>
      <c r="D35" s="132">
        <f>+'Sources and Uses'!C121</f>
        <v>129800</v>
      </c>
      <c r="E35" s="132">
        <f>+'Sources and Uses'!D121</f>
        <v>164800</v>
      </c>
      <c r="F35" s="132">
        <f>+'Sources and Uses'!E121</f>
        <v>165700</v>
      </c>
      <c r="G35" s="132">
        <f>+'Sources and Uses'!F121</f>
        <v>166100</v>
      </c>
      <c r="H35" s="132">
        <f>+'Sources and Uses'!G121</f>
        <v>166300</v>
      </c>
      <c r="I35" s="132">
        <f>+'Sources and Uses'!H121</f>
        <v>166600</v>
      </c>
      <c r="J35" s="132">
        <f>+'Sources and Uses'!I121</f>
        <v>166800</v>
      </c>
      <c r="K35" s="132">
        <f>+'Sources and Uses'!J121</f>
        <v>167000</v>
      </c>
      <c r="L35" s="132">
        <f>+'Sources and Uses'!K121</f>
        <v>167300</v>
      </c>
      <c r="M35" s="5"/>
      <c r="N35" s="5"/>
      <c r="O35" s="5"/>
    </row>
    <row r="36" spans="1:15">
      <c r="A36" s="5"/>
      <c r="B36" s="143" t="s">
        <v>48</v>
      </c>
      <c r="C36" s="144">
        <f>+'Sources and Uses'!B127</f>
        <v>2800</v>
      </c>
      <c r="D36" s="144">
        <f>+'Sources and Uses'!C127</f>
        <v>13000</v>
      </c>
      <c r="E36" s="144">
        <f>+'Sources and Uses'!D127</f>
        <v>16500</v>
      </c>
      <c r="F36" s="144">
        <f>+'Sources and Uses'!E127</f>
        <v>16600</v>
      </c>
      <c r="G36" s="144">
        <f>+'Sources and Uses'!F127</f>
        <v>16600</v>
      </c>
      <c r="H36" s="144">
        <f>+'Sources and Uses'!G127</f>
        <v>16600</v>
      </c>
      <c r="I36" s="144">
        <f>+'Sources and Uses'!H127</f>
        <v>16700</v>
      </c>
      <c r="J36" s="144">
        <f>+'Sources and Uses'!I127</f>
        <v>16700</v>
      </c>
      <c r="K36" s="144">
        <f>+'Sources and Uses'!J127</f>
        <v>16700</v>
      </c>
      <c r="L36" s="144">
        <f>+'Sources and Uses'!K127</f>
        <v>16700</v>
      </c>
      <c r="M36" s="5"/>
      <c r="N36" s="5"/>
      <c r="O36" s="5"/>
    </row>
    <row r="37" spans="1:15">
      <c r="A37" s="5"/>
      <c r="B37" s="143" t="s">
        <v>49</v>
      </c>
      <c r="C37" s="144">
        <f>+'Sources and Uses'!B135</f>
        <v>85000</v>
      </c>
      <c r="D37" s="144">
        <f>+'Sources and Uses'!C135</f>
        <v>117400</v>
      </c>
      <c r="E37" s="144">
        <f>+'Sources and Uses'!D135</f>
        <v>120500</v>
      </c>
      <c r="F37" s="144">
        <f>+'Sources and Uses'!E135</f>
        <v>123700</v>
      </c>
      <c r="G37" s="144">
        <f>+'Sources and Uses'!F135</f>
        <v>127000</v>
      </c>
      <c r="H37" s="144">
        <f>+'Sources and Uses'!G135</f>
        <v>130400</v>
      </c>
      <c r="I37" s="144">
        <f>+'Sources and Uses'!H135</f>
        <v>133900</v>
      </c>
      <c r="J37" s="144">
        <f>+'Sources and Uses'!I135</f>
        <v>137500</v>
      </c>
      <c r="K37" s="144">
        <f>+'Sources and Uses'!J135</f>
        <v>141200</v>
      </c>
      <c r="L37" s="144">
        <f>+'Sources and Uses'!K135</f>
        <v>145000</v>
      </c>
      <c r="M37" s="5"/>
      <c r="N37" s="5"/>
      <c r="O37" s="5"/>
    </row>
    <row r="38" spans="1:15">
      <c r="A38" s="5"/>
      <c r="B38" s="143" t="s">
        <v>57</v>
      </c>
      <c r="C38" s="144">
        <f>+'Sources and Uses'!B137</f>
        <v>10800</v>
      </c>
      <c r="D38" s="144">
        <f>+'Sources and Uses'!C137</f>
        <v>58000</v>
      </c>
      <c r="E38" s="144">
        <f>+'Sources and Uses'!D137</f>
        <v>78900</v>
      </c>
      <c r="F38" s="144">
        <f>+'Sources and Uses'!E137</f>
        <v>87400</v>
      </c>
      <c r="G38" s="144">
        <f>+'Sources and Uses'!F137</f>
        <v>90500</v>
      </c>
      <c r="H38" s="144">
        <f>+'Sources and Uses'!G137</f>
        <v>71800</v>
      </c>
      <c r="I38" s="144">
        <f>+'Sources and Uses'!H137</f>
        <v>72400</v>
      </c>
      <c r="J38" s="144">
        <f>+'Sources and Uses'!I137</f>
        <v>72900</v>
      </c>
      <c r="K38" s="144">
        <f>+'Sources and Uses'!J137</f>
        <v>73400</v>
      </c>
      <c r="L38" s="144">
        <f>+'Sources and Uses'!K137</f>
        <v>73900</v>
      </c>
      <c r="M38" s="5"/>
      <c r="N38" s="5"/>
      <c r="O38" s="5"/>
    </row>
    <row r="39" spans="1:15">
      <c r="A39" s="5"/>
      <c r="B39" s="208" t="s">
        <v>206</v>
      </c>
      <c r="C39" s="144">
        <f>+'Sources and Uses'!B139</f>
        <v>0</v>
      </c>
      <c r="D39" s="144">
        <f>+'Sources and Uses'!C139</f>
        <v>0</v>
      </c>
      <c r="E39" s="144">
        <f>+'Sources and Uses'!D139</f>
        <v>0</v>
      </c>
      <c r="F39" s="144">
        <f>+'Sources and Uses'!E139</f>
        <v>0</v>
      </c>
      <c r="G39" s="144">
        <f>+'Sources and Uses'!F139</f>
        <v>0</v>
      </c>
      <c r="H39" s="144">
        <f>+'Sources and Uses'!G139</f>
        <v>0</v>
      </c>
      <c r="I39" s="144">
        <f>+'Sources and Uses'!H139</f>
        <v>0</v>
      </c>
      <c r="J39" s="144">
        <f>+'Sources and Uses'!I139</f>
        <v>0</v>
      </c>
      <c r="K39" s="144">
        <f>+'Sources and Uses'!J139</f>
        <v>0</v>
      </c>
      <c r="L39" s="144">
        <f>+'Sources and Uses'!K139</f>
        <v>0</v>
      </c>
      <c r="M39" s="5"/>
      <c r="N39" s="5"/>
      <c r="O39" s="5"/>
    </row>
    <row r="40" spans="1:15">
      <c r="A40" s="5"/>
      <c r="B40" s="142" t="s">
        <v>10</v>
      </c>
      <c r="C40" s="136">
        <f>SUM(C30:C39)</f>
        <v>271660</v>
      </c>
      <c r="D40" s="136">
        <f t="shared" ref="D40:G40" si="2">SUM(D30:D39)</f>
        <v>889100</v>
      </c>
      <c r="E40" s="136">
        <f t="shared" si="2"/>
        <v>1060400</v>
      </c>
      <c r="F40" s="136">
        <f t="shared" si="2"/>
        <v>1084300</v>
      </c>
      <c r="G40" s="136">
        <f t="shared" si="2"/>
        <v>1100800</v>
      </c>
      <c r="H40" s="136">
        <f t="shared" ref="H40:L40" si="3">SUM(H30:H39)</f>
        <v>1085100</v>
      </c>
      <c r="I40" s="136">
        <f t="shared" si="3"/>
        <v>1095700</v>
      </c>
      <c r="J40" s="136">
        <f t="shared" si="3"/>
        <v>1106300</v>
      </c>
      <c r="K40" s="136">
        <f t="shared" si="3"/>
        <v>1117200</v>
      </c>
      <c r="L40" s="136">
        <f t="shared" si="3"/>
        <v>1128400</v>
      </c>
      <c r="M40" s="5"/>
      <c r="N40" s="5"/>
      <c r="O40" s="5"/>
    </row>
    <row r="41" spans="1:15">
      <c r="A41" s="5"/>
      <c r="B41" s="135"/>
      <c r="C41" s="132"/>
      <c r="D41" s="131"/>
      <c r="E41" s="132"/>
      <c r="F41" s="131"/>
      <c r="G41" s="131"/>
      <c r="H41" s="131"/>
      <c r="I41" s="131"/>
      <c r="J41" s="131"/>
      <c r="K41" s="131"/>
      <c r="L41" s="131"/>
      <c r="M41" s="5"/>
      <c r="N41" s="5"/>
      <c r="O41" s="5"/>
    </row>
    <row r="42" spans="1:15">
      <c r="A42" s="5"/>
      <c r="B42" s="145" t="s">
        <v>11</v>
      </c>
      <c r="C42" s="144">
        <f>+C26-C40</f>
        <v>10726835</v>
      </c>
      <c r="D42" s="144">
        <f t="shared" ref="D42:G42" si="4">+D26-D40</f>
        <v>19011073</v>
      </c>
      <c r="E42" s="144">
        <f t="shared" si="4"/>
        <v>418000</v>
      </c>
      <c r="F42" s="144">
        <f t="shared" si="4"/>
        <v>540000</v>
      </c>
      <c r="G42" s="144">
        <f t="shared" si="4"/>
        <v>569900</v>
      </c>
      <c r="H42" s="144">
        <f t="shared" ref="H42:L42" si="5">+H26-H40</f>
        <v>162200</v>
      </c>
      <c r="I42" s="144">
        <f t="shared" si="5"/>
        <v>160800</v>
      </c>
      <c r="J42" s="144">
        <f t="shared" si="5"/>
        <v>159200</v>
      </c>
      <c r="K42" s="144">
        <f t="shared" si="5"/>
        <v>157400</v>
      </c>
      <c r="L42" s="144">
        <f t="shared" si="5"/>
        <v>155300</v>
      </c>
      <c r="M42" s="5"/>
      <c r="N42" s="5"/>
      <c r="O42" s="5"/>
    </row>
    <row r="43" spans="1:15">
      <c r="A43" s="5"/>
      <c r="B43" s="21"/>
      <c r="C43" s="132"/>
      <c r="D43" s="131"/>
      <c r="E43" s="132"/>
      <c r="F43" s="131"/>
      <c r="G43" s="131"/>
      <c r="H43" s="131"/>
      <c r="I43" s="131"/>
      <c r="J43" s="131"/>
      <c r="K43" s="131"/>
      <c r="L43" s="131"/>
      <c r="M43" s="5"/>
      <c r="N43" s="5"/>
      <c r="O43" s="5"/>
    </row>
    <row r="44" spans="1:15">
      <c r="A44" s="5"/>
      <c r="B44" s="146" t="s">
        <v>12</v>
      </c>
      <c r="C44" s="47">
        <f>+'Depreciation Summary'!D28</f>
        <v>779049.71200000006</v>
      </c>
      <c r="D44" s="47">
        <f>+'Depreciation Summary'!E28</f>
        <v>2533072.3119999999</v>
      </c>
      <c r="E44" s="47">
        <f>+'Depreciation Summary'!F28</f>
        <v>2539405.1119999997</v>
      </c>
      <c r="F44" s="47">
        <f>+'Depreciation Summary'!G28</f>
        <v>2545737.9119999995</v>
      </c>
      <c r="G44" s="47">
        <f>+'Depreciation Summary'!H28</f>
        <v>2545737.9119999995</v>
      </c>
      <c r="H44" s="47">
        <f>+'Depreciation Summary'!I28</f>
        <v>2047067.7000000002</v>
      </c>
      <c r="I44" s="47">
        <f>+'Depreciation Summary'!J28</f>
        <v>1128158.7000000002</v>
      </c>
      <c r="J44" s="47">
        <f>+'Depreciation Summary'!K28</f>
        <v>1121825.9000000001</v>
      </c>
      <c r="K44" s="47">
        <f>+'Depreciation Summary'!L28</f>
        <v>1115493.1000000001</v>
      </c>
      <c r="L44" s="47">
        <f>+'Depreciation Summary'!M28</f>
        <v>1115493.1000000001</v>
      </c>
      <c r="M44" s="5"/>
      <c r="N44" s="5"/>
      <c r="O44" s="5"/>
    </row>
    <row r="45" spans="1:15">
      <c r="A45" s="5"/>
      <c r="B45" s="147" t="s">
        <v>13</v>
      </c>
      <c r="C45" s="144">
        <v>0</v>
      </c>
      <c r="D45" s="136">
        <v>0</v>
      </c>
      <c r="E45" s="144">
        <v>0</v>
      </c>
      <c r="F45" s="136">
        <v>0</v>
      </c>
      <c r="G45" s="136">
        <v>0</v>
      </c>
      <c r="H45" s="136">
        <v>0</v>
      </c>
      <c r="I45" s="136">
        <v>0</v>
      </c>
      <c r="J45" s="136">
        <v>0</v>
      </c>
      <c r="K45" s="136">
        <v>0</v>
      </c>
      <c r="L45" s="136">
        <v>0</v>
      </c>
      <c r="M45" s="5"/>
      <c r="N45" s="5"/>
      <c r="O45" s="5"/>
    </row>
    <row r="46" spans="1:15">
      <c r="A46" s="5"/>
      <c r="B46" s="21"/>
      <c r="C46" s="148"/>
      <c r="D46" s="149"/>
      <c r="E46" s="148"/>
      <c r="F46" s="149"/>
      <c r="G46" s="149"/>
      <c r="H46" s="149"/>
      <c r="I46" s="149"/>
      <c r="J46" s="149"/>
      <c r="K46" s="149"/>
      <c r="L46" s="149"/>
      <c r="M46" s="5"/>
      <c r="N46" s="5"/>
      <c r="O46" s="5"/>
    </row>
    <row r="47" spans="1:15">
      <c r="A47" s="5"/>
      <c r="B47" s="145" t="s">
        <v>142</v>
      </c>
      <c r="C47" s="144">
        <f>+C42-C44-C45</f>
        <v>9947785.2880000006</v>
      </c>
      <c r="D47" s="144">
        <f t="shared" ref="D47:G47" si="6">+D42-D44-D45</f>
        <v>16478000.688000001</v>
      </c>
      <c r="E47" s="144">
        <f t="shared" si="6"/>
        <v>-2121405.1119999997</v>
      </c>
      <c r="F47" s="144">
        <f t="shared" si="6"/>
        <v>-2005737.9119999995</v>
      </c>
      <c r="G47" s="144">
        <f t="shared" si="6"/>
        <v>-1975837.9119999995</v>
      </c>
      <c r="H47" s="144">
        <f t="shared" ref="H47:L47" si="7">+H42-H44-H45</f>
        <v>-1884867.7000000002</v>
      </c>
      <c r="I47" s="144">
        <f t="shared" si="7"/>
        <v>-967358.70000000019</v>
      </c>
      <c r="J47" s="144">
        <f t="shared" si="7"/>
        <v>-962625.90000000014</v>
      </c>
      <c r="K47" s="144">
        <f t="shared" si="7"/>
        <v>-958093.10000000009</v>
      </c>
      <c r="L47" s="144">
        <f t="shared" si="7"/>
        <v>-960193.10000000009</v>
      </c>
      <c r="M47" s="5"/>
      <c r="N47" s="5"/>
      <c r="O47" s="5"/>
    </row>
    <row r="48" spans="1:15">
      <c r="A48" s="5"/>
      <c r="B48" s="21"/>
      <c r="C48" s="28"/>
      <c r="D48" s="21"/>
      <c r="E48" s="28"/>
      <c r="F48" s="21"/>
      <c r="G48" s="21"/>
      <c r="H48" s="21"/>
      <c r="I48" s="21"/>
      <c r="J48" s="21"/>
      <c r="K48" s="21"/>
      <c r="L48" s="21"/>
      <c r="M48" s="5"/>
      <c r="N48" s="5"/>
      <c r="O48" s="5"/>
    </row>
    <row r="49" spans="1:15">
      <c r="A49" s="5"/>
      <c r="B49" s="147" t="s">
        <v>55</v>
      </c>
      <c r="C49" s="144">
        <f>-('Loan Yr 3'!B36+'Loan Yr 4'!B36+'Loan Yr 5'!B36)</f>
        <v>0</v>
      </c>
      <c r="D49" s="144">
        <f>-('Loan Yr 3'!C36+'Loan Yr 4'!C36+'Loan Yr 5'!C36)</f>
        <v>0</v>
      </c>
      <c r="E49" s="144">
        <f>-('Loan Yr 3'!D36+'Loan Yr 4'!D36+'Loan Yr 5'!D36)</f>
        <v>0</v>
      </c>
      <c r="F49" s="144">
        <f>-('Loan Yr 3'!E36+'Loan Yr 4'!E36+'Loan Yr 5'!E36)</f>
        <v>0</v>
      </c>
      <c r="G49" s="144">
        <f>-('Loan Yr 3'!F36+'Loan Yr 4'!F36+'Loan Yr 5'!F36)</f>
        <v>0</v>
      </c>
      <c r="H49" s="144">
        <f>-('Loan Yr 3'!G36+'Loan Yr 4'!G36+'Loan Yr 5'!G36)</f>
        <v>0</v>
      </c>
      <c r="I49" s="144">
        <f>-('Loan Yr 3'!H36+'Loan Yr 4'!H36+'Loan Yr 5'!H36)</f>
        <v>0</v>
      </c>
      <c r="J49" s="144">
        <f>-('Loan Yr 3'!I36+'Loan Yr 4'!I36+'Loan Yr 5'!I36)</f>
        <v>0</v>
      </c>
      <c r="K49" s="144">
        <f>-('Loan Yr 3'!J36+'Loan Yr 4'!J36+'Loan Yr 5'!J36)</f>
        <v>0</v>
      </c>
      <c r="L49" s="144">
        <f>-('Loan Yr 3'!K36+'Loan Yr 4'!K36+'Loan Yr 5'!K36)</f>
        <v>0</v>
      </c>
      <c r="M49" s="5"/>
      <c r="N49" s="5"/>
      <c r="O49" s="5"/>
    </row>
    <row r="50" spans="1:15">
      <c r="A50" s="5"/>
      <c r="B50" s="147" t="s">
        <v>56</v>
      </c>
      <c r="C50" s="150">
        <v>0</v>
      </c>
      <c r="D50" s="151">
        <v>0</v>
      </c>
      <c r="E50" s="150">
        <v>0</v>
      </c>
      <c r="F50" s="151">
        <v>0</v>
      </c>
      <c r="G50" s="151">
        <v>0</v>
      </c>
      <c r="H50" s="151">
        <v>0</v>
      </c>
      <c r="I50" s="151">
        <v>0</v>
      </c>
      <c r="J50" s="151">
        <v>0</v>
      </c>
      <c r="K50" s="151">
        <v>0</v>
      </c>
      <c r="L50" s="151">
        <v>0</v>
      </c>
      <c r="M50" s="5"/>
      <c r="N50" s="5"/>
      <c r="O50" s="5"/>
    </row>
    <row r="51" spans="1:15">
      <c r="A51" s="5"/>
      <c r="B51" s="147" t="s">
        <v>146</v>
      </c>
      <c r="C51" s="152">
        <v>0</v>
      </c>
      <c r="D51" s="137">
        <v>0</v>
      </c>
      <c r="E51" s="152">
        <v>0</v>
      </c>
      <c r="F51" s="137">
        <v>0</v>
      </c>
      <c r="G51" s="137">
        <v>0</v>
      </c>
      <c r="H51" s="137">
        <v>0</v>
      </c>
      <c r="I51" s="137">
        <v>0</v>
      </c>
      <c r="J51" s="137">
        <v>0</v>
      </c>
      <c r="K51" s="137">
        <v>0</v>
      </c>
      <c r="L51" s="137">
        <v>0</v>
      </c>
      <c r="M51" s="5"/>
      <c r="N51" s="5"/>
      <c r="O51" s="5"/>
    </row>
    <row r="52" spans="1:15">
      <c r="A52" s="5"/>
      <c r="B52" s="153"/>
      <c r="C52" s="148"/>
      <c r="D52" s="149"/>
      <c r="E52" s="148"/>
      <c r="F52" s="149"/>
      <c r="G52" s="149"/>
      <c r="H52" s="149"/>
      <c r="I52" s="149"/>
      <c r="J52" s="149"/>
      <c r="K52" s="149"/>
      <c r="L52" s="149"/>
      <c r="M52" s="5"/>
      <c r="N52" s="5"/>
      <c r="O52" s="5"/>
    </row>
    <row r="53" spans="1:15">
      <c r="A53" s="5"/>
      <c r="B53" s="142" t="s">
        <v>147</v>
      </c>
      <c r="C53" s="136">
        <f>+C47-C49-C50-C51</f>
        <v>9947785.2880000006</v>
      </c>
      <c r="D53" s="136">
        <f t="shared" ref="D53:G53" si="8">+D47-D49-D50-D51</f>
        <v>16478000.688000001</v>
      </c>
      <c r="E53" s="136">
        <f t="shared" si="8"/>
        <v>-2121405.1119999997</v>
      </c>
      <c r="F53" s="136">
        <f t="shared" si="8"/>
        <v>-2005737.9119999995</v>
      </c>
      <c r="G53" s="136">
        <f t="shared" si="8"/>
        <v>-1975837.9119999995</v>
      </c>
      <c r="H53" s="136">
        <f t="shared" ref="H53:L53" si="9">+H47-H49-H50-H51</f>
        <v>-1884867.7000000002</v>
      </c>
      <c r="I53" s="136">
        <f t="shared" si="9"/>
        <v>-967358.70000000019</v>
      </c>
      <c r="J53" s="136">
        <f t="shared" si="9"/>
        <v>-962625.90000000014</v>
      </c>
      <c r="K53" s="136">
        <f t="shared" si="9"/>
        <v>-958093.10000000009</v>
      </c>
      <c r="L53" s="136">
        <f t="shared" si="9"/>
        <v>-960193.10000000009</v>
      </c>
      <c r="M53" s="5"/>
      <c r="N53" s="5"/>
      <c r="O53" s="5"/>
    </row>
    <row r="54" spans="1:15">
      <c r="A54" s="5"/>
      <c r="B54" s="67"/>
      <c r="C54" s="154"/>
      <c r="D54" s="154"/>
      <c r="E54" s="155"/>
      <c r="F54" s="154"/>
      <c r="G54" s="154"/>
      <c r="H54" s="154"/>
      <c r="I54" s="154"/>
      <c r="J54" s="154"/>
      <c r="K54" s="154"/>
      <c r="L54" s="154"/>
      <c r="M54" s="5"/>
      <c r="N54" s="5"/>
      <c r="O54" s="5"/>
    </row>
    <row r="55" spans="1:15">
      <c r="A55" s="5"/>
      <c r="B55" s="130" t="s">
        <v>148</v>
      </c>
      <c r="C55" s="154">
        <v>0</v>
      </c>
      <c r="D55" s="154">
        <v>0</v>
      </c>
      <c r="E55" s="155">
        <v>0</v>
      </c>
      <c r="F55" s="154">
        <v>0</v>
      </c>
      <c r="G55" s="154">
        <v>0</v>
      </c>
      <c r="H55" s="154">
        <v>0</v>
      </c>
      <c r="I55" s="154">
        <v>0</v>
      </c>
      <c r="J55" s="154">
        <v>0</v>
      </c>
      <c r="K55" s="154">
        <v>0</v>
      </c>
      <c r="L55" s="154">
        <v>0</v>
      </c>
      <c r="M55" s="5"/>
      <c r="N55" s="5"/>
      <c r="O55" s="5"/>
    </row>
    <row r="56" spans="1:15">
      <c r="A56" s="5"/>
      <c r="B56" s="63" t="s">
        <v>149</v>
      </c>
      <c r="C56" s="151">
        <v>0</v>
      </c>
      <c r="D56" s="151">
        <v>0</v>
      </c>
      <c r="E56" s="150">
        <v>0</v>
      </c>
      <c r="F56" s="151">
        <v>0</v>
      </c>
      <c r="G56" s="151">
        <v>0</v>
      </c>
      <c r="H56" s="151">
        <v>0</v>
      </c>
      <c r="I56" s="151">
        <v>0</v>
      </c>
      <c r="J56" s="151">
        <v>0</v>
      </c>
      <c r="K56" s="151">
        <v>0</v>
      </c>
      <c r="L56" s="151">
        <v>0</v>
      </c>
      <c r="M56" s="5"/>
      <c r="N56" s="5"/>
      <c r="O56" s="5"/>
    </row>
    <row r="57" spans="1:15" ht="15.75" thickBot="1">
      <c r="A57" s="5"/>
      <c r="B57" s="67"/>
      <c r="C57" s="154"/>
      <c r="D57" s="156"/>
      <c r="E57" s="155"/>
      <c r="F57" s="157"/>
      <c r="G57" s="156"/>
      <c r="H57" s="156"/>
      <c r="I57" s="156"/>
      <c r="J57" s="156"/>
      <c r="K57" s="156"/>
      <c r="L57" s="156"/>
      <c r="M57" s="5"/>
      <c r="N57" s="5"/>
      <c r="O57" s="5"/>
    </row>
    <row r="58" spans="1:15" ht="15.75" thickTop="1">
      <c r="A58" s="5"/>
      <c r="B58" s="158" t="s">
        <v>1</v>
      </c>
      <c r="C58" s="159">
        <f>+C53-C55-C56</f>
        <v>9947785.2880000006</v>
      </c>
      <c r="D58" s="159">
        <f t="shared" ref="D58:G58" si="10">+D53-D55-D56</f>
        <v>16478000.688000001</v>
      </c>
      <c r="E58" s="159">
        <f t="shared" si="10"/>
        <v>-2121405.1119999997</v>
      </c>
      <c r="F58" s="159">
        <f t="shared" si="10"/>
        <v>-2005737.9119999995</v>
      </c>
      <c r="G58" s="159">
        <f t="shared" si="10"/>
        <v>-1975837.9119999995</v>
      </c>
      <c r="H58" s="159">
        <f t="shared" ref="H58:L58" si="11">+H53-H55-H56</f>
        <v>-1884867.7000000002</v>
      </c>
      <c r="I58" s="159">
        <f t="shared" si="11"/>
        <v>-967358.70000000019</v>
      </c>
      <c r="J58" s="159">
        <f t="shared" si="11"/>
        <v>-962625.90000000014</v>
      </c>
      <c r="K58" s="159">
        <f t="shared" si="11"/>
        <v>-958093.10000000009</v>
      </c>
      <c r="L58" s="159">
        <f t="shared" si="11"/>
        <v>-960193.10000000009</v>
      </c>
      <c r="M58" s="5"/>
      <c r="N58" s="5"/>
      <c r="O58" s="5"/>
    </row>
    <row r="59" spans="1: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>
      <c r="A112" s="5"/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  <row r="117" spans="1:1">
      <c r="A117" s="5"/>
    </row>
    <row r="118" spans="1:1">
      <c r="A118" s="5"/>
    </row>
    <row r="119" spans="1:1">
      <c r="A119" s="5"/>
    </row>
    <row r="120" spans="1:1">
      <c r="A120" s="5"/>
    </row>
    <row r="121" spans="1:1">
      <c r="A121" s="5"/>
    </row>
    <row r="122" spans="1:1">
      <c r="A122" s="5"/>
    </row>
    <row r="123" spans="1:1">
      <c r="A123" s="5"/>
    </row>
    <row r="124" spans="1:1">
      <c r="A124" s="5"/>
    </row>
    <row r="125" spans="1:1">
      <c r="A125" s="5"/>
    </row>
    <row r="126" spans="1:1">
      <c r="A126" s="5"/>
    </row>
    <row r="127" spans="1:1">
      <c r="A127" s="5"/>
    </row>
    <row r="128" spans="1:1">
      <c r="A128" s="5"/>
    </row>
    <row r="129" spans="1:1">
      <c r="A129" s="5"/>
    </row>
    <row r="130" spans="1:1">
      <c r="A130" s="5"/>
    </row>
    <row r="131" spans="1:1">
      <c r="A131" s="5"/>
    </row>
    <row r="132" spans="1:1">
      <c r="A132" s="5"/>
    </row>
    <row r="133" spans="1:1">
      <c r="A133" s="5"/>
    </row>
    <row r="134" spans="1:1">
      <c r="A134" s="5"/>
    </row>
    <row r="135" spans="1:1">
      <c r="A135" s="5"/>
    </row>
    <row r="136" spans="1:1">
      <c r="A136" s="5"/>
    </row>
    <row r="137" spans="1:1">
      <c r="A137" s="5"/>
    </row>
    <row r="138" spans="1:1">
      <c r="A138" s="5"/>
    </row>
    <row r="139" spans="1:1">
      <c r="A139" s="5"/>
    </row>
    <row r="140" spans="1:1">
      <c r="A140" s="5"/>
    </row>
    <row r="141" spans="1:1">
      <c r="A141" s="5"/>
    </row>
    <row r="142" spans="1:1">
      <c r="A142" s="5"/>
    </row>
    <row r="143" spans="1:1">
      <c r="A143" s="5"/>
    </row>
    <row r="144" spans="1:1">
      <c r="A144" s="5"/>
    </row>
    <row r="145" spans="1:1">
      <c r="A145" s="5"/>
    </row>
    <row r="146" spans="1:1">
      <c r="A146" s="5"/>
    </row>
    <row r="147" spans="1:1">
      <c r="A147" s="5"/>
    </row>
    <row r="148" spans="1:1">
      <c r="A148" s="5"/>
    </row>
    <row r="149" spans="1:1">
      <c r="A149" s="5"/>
    </row>
    <row r="150" spans="1:1">
      <c r="A150" s="5"/>
    </row>
    <row r="151" spans="1:1">
      <c r="A151" s="5"/>
    </row>
    <row r="152" spans="1:1">
      <c r="A152" s="5"/>
    </row>
    <row r="153" spans="1:1">
      <c r="A153" s="5"/>
    </row>
    <row r="154" spans="1:1">
      <c r="A154" s="5"/>
    </row>
    <row r="155" spans="1:1">
      <c r="A155" s="5"/>
    </row>
    <row r="156" spans="1:1">
      <c r="A156" s="5"/>
    </row>
    <row r="157" spans="1:1">
      <c r="A157" s="5"/>
    </row>
    <row r="158" spans="1:1">
      <c r="A158" s="5"/>
    </row>
    <row r="159" spans="1:1">
      <c r="A159" s="5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5"/>
    </row>
    <row r="165" spans="1:1">
      <c r="A165" s="5"/>
    </row>
    <row r="166" spans="1:1">
      <c r="A166" s="5"/>
    </row>
  </sheetData>
  <mergeCells count="7">
    <mergeCell ref="H6:L6"/>
    <mergeCell ref="C6:G6"/>
    <mergeCell ref="B2:B4"/>
    <mergeCell ref="D2:G2"/>
    <mergeCell ref="D3:G3"/>
    <mergeCell ref="D4:G4"/>
    <mergeCell ref="D5:G5"/>
  </mergeCells>
  <phoneticPr fontId="38" type="noConversion"/>
  <pageMargins left="0.7" right="0.7" top="0.47" bottom="0.43" header="0.3" footer="0.3"/>
  <ignoredErrors>
    <ignoredError sqref="C11:L44 C46:L63 C45:G45" unlocked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B37"/>
  <sheetViews>
    <sheetView topLeftCell="A2" workbookViewId="0">
      <selection activeCell="AD23" sqref="AD23"/>
    </sheetView>
  </sheetViews>
  <sheetFormatPr defaultColWidth="13.7109375" defaultRowHeight="12.75"/>
  <cols>
    <col min="1" max="1" width="21.140625" style="232" customWidth="1"/>
    <col min="2" max="2" width="1.140625" style="232" customWidth="1"/>
    <col min="3" max="3" width="6" style="216" customWidth="1"/>
    <col min="4" max="26" width="5.28515625" style="217" customWidth="1"/>
    <col min="27" max="27" width="7" style="217" customWidth="1"/>
    <col min="28" max="28" width="5.28515625" style="217" customWidth="1"/>
    <col min="29" max="16384" width="13.7109375" style="216"/>
  </cols>
  <sheetData>
    <row r="1" spans="1:28" ht="15.75">
      <c r="A1" s="215" t="s">
        <v>277</v>
      </c>
      <c r="B1" s="215"/>
    </row>
    <row r="3" spans="1:28" ht="20.100000000000001" customHeight="1">
      <c r="A3" s="705" t="s">
        <v>247</v>
      </c>
      <c r="B3" s="218"/>
      <c r="C3" s="654" t="s">
        <v>248</v>
      </c>
      <c r="D3" s="648" t="s">
        <v>249</v>
      </c>
      <c r="E3" s="648"/>
      <c r="F3" s="648"/>
      <c r="G3" s="648"/>
      <c r="H3" s="648" t="s">
        <v>250</v>
      </c>
      <c r="I3" s="648"/>
      <c r="J3" s="648"/>
      <c r="K3" s="648"/>
      <c r="L3" s="648" t="s">
        <v>251</v>
      </c>
      <c r="M3" s="648"/>
      <c r="N3" s="648"/>
      <c r="O3" s="648"/>
      <c r="P3" s="648" t="s">
        <v>252</v>
      </c>
      <c r="Q3" s="648"/>
      <c r="R3" s="648"/>
      <c r="S3" s="648"/>
      <c r="T3" s="648" t="s">
        <v>121</v>
      </c>
      <c r="U3" s="648"/>
      <c r="V3" s="648"/>
      <c r="W3" s="648"/>
      <c r="X3" s="649" t="s">
        <v>604</v>
      </c>
      <c r="Y3" s="650"/>
      <c r="Z3" s="650"/>
      <c r="AA3" s="650"/>
      <c r="AB3" s="651"/>
    </row>
    <row r="4" spans="1:28" ht="20.100000000000001" customHeight="1">
      <c r="A4" s="706"/>
      <c r="B4" s="219"/>
      <c r="C4" s="655"/>
      <c r="D4" s="220" t="s">
        <v>122</v>
      </c>
      <c r="E4" s="220" t="s">
        <v>260</v>
      </c>
      <c r="F4" s="220" t="s">
        <v>261</v>
      </c>
      <c r="G4" s="220" t="s">
        <v>262</v>
      </c>
      <c r="H4" s="220" t="s">
        <v>122</v>
      </c>
      <c r="I4" s="220" t="s">
        <v>260</v>
      </c>
      <c r="J4" s="220" t="s">
        <v>261</v>
      </c>
      <c r="K4" s="220" t="s">
        <v>262</v>
      </c>
      <c r="L4" s="220" t="s">
        <v>122</v>
      </c>
      <c r="M4" s="220" t="s">
        <v>260</v>
      </c>
      <c r="N4" s="220" t="s">
        <v>261</v>
      </c>
      <c r="O4" s="220" t="s">
        <v>262</v>
      </c>
      <c r="P4" s="220" t="s">
        <v>122</v>
      </c>
      <c r="Q4" s="220" t="s">
        <v>260</v>
      </c>
      <c r="R4" s="220" t="s">
        <v>261</v>
      </c>
      <c r="S4" s="220" t="s">
        <v>262</v>
      </c>
      <c r="T4" s="220" t="s">
        <v>263</v>
      </c>
      <c r="U4" s="220" t="s">
        <v>260</v>
      </c>
      <c r="V4" s="220" t="s">
        <v>261</v>
      </c>
      <c r="W4" s="220" t="s">
        <v>262</v>
      </c>
      <c r="X4" s="546">
        <v>6</v>
      </c>
      <c r="Y4" s="546">
        <v>7</v>
      </c>
      <c r="Z4" s="546">
        <v>8</v>
      </c>
      <c r="AA4" s="546">
        <v>9</v>
      </c>
      <c r="AB4" s="546">
        <v>10</v>
      </c>
    </row>
    <row r="5" spans="1:28">
      <c r="A5" s="221" t="s">
        <v>264</v>
      </c>
      <c r="B5" s="222"/>
      <c r="C5" s="223"/>
      <c r="D5" s="224"/>
      <c r="E5" s="224"/>
      <c r="F5" s="224"/>
      <c r="G5" s="225"/>
      <c r="H5" s="224"/>
      <c r="I5" s="224"/>
      <c r="J5" s="224"/>
      <c r="K5" s="225"/>
      <c r="L5" s="224"/>
      <c r="M5" s="224"/>
      <c r="N5" s="224"/>
      <c r="O5" s="225"/>
      <c r="P5" s="224"/>
      <c r="Q5" s="224"/>
      <c r="R5" s="224"/>
      <c r="S5" s="225"/>
      <c r="T5" s="224"/>
      <c r="U5" s="224"/>
      <c r="V5" s="224"/>
      <c r="W5" s="225"/>
      <c r="X5" s="245"/>
      <c r="Y5" s="224"/>
      <c r="Z5" s="224"/>
      <c r="AA5" s="225"/>
      <c r="AB5" s="245"/>
    </row>
    <row r="6" spans="1:28">
      <c r="A6" s="296" t="s">
        <v>265</v>
      </c>
      <c r="B6" s="296"/>
      <c r="C6" s="297"/>
      <c r="D6" s="298"/>
      <c r="E6" s="298"/>
      <c r="F6" s="298"/>
      <c r="G6" s="299"/>
      <c r="H6" s="298"/>
      <c r="I6" s="298"/>
      <c r="J6" s="298"/>
      <c r="K6" s="299"/>
      <c r="L6" s="298"/>
      <c r="M6" s="298"/>
      <c r="N6" s="298"/>
      <c r="O6" s="299"/>
      <c r="P6" s="298"/>
      <c r="Q6" s="298"/>
      <c r="R6" s="298"/>
      <c r="S6" s="299"/>
      <c r="T6" s="298"/>
      <c r="U6" s="298"/>
      <c r="V6" s="298"/>
      <c r="W6" s="299"/>
      <c r="X6" s="258"/>
      <c r="Y6" s="259"/>
      <c r="Z6" s="259"/>
      <c r="AA6" s="260"/>
      <c r="AB6" s="258"/>
    </row>
    <row r="7" spans="1:28" ht="18" customHeight="1">
      <c r="A7" s="226" t="s">
        <v>266</v>
      </c>
      <c r="B7" s="226"/>
      <c r="C7" s="220"/>
      <c r="D7" s="566">
        <f>ROUNDUP('Key Assumptions'!D77,0)</f>
        <v>0</v>
      </c>
      <c r="E7" s="566">
        <f>ROUNDUP('Key Assumptions'!E77,0)</f>
        <v>0</v>
      </c>
      <c r="F7" s="566">
        <f>ROUNDUP('Key Assumptions'!F77,0)</f>
        <v>1</v>
      </c>
      <c r="G7" s="566">
        <f>ROUNDUP('Key Assumptions'!G77,0)</f>
        <v>1</v>
      </c>
      <c r="H7" s="566">
        <f>ROUNDUP('Key Assumptions'!H77,0)</f>
        <v>1</v>
      </c>
      <c r="I7" s="566">
        <f>ROUNDUP('Key Assumptions'!I77,0)</f>
        <v>1</v>
      </c>
      <c r="J7" s="566">
        <f>ROUNDUP('Key Assumptions'!J77,0)</f>
        <v>1</v>
      </c>
      <c r="K7" s="566">
        <f>ROUNDUP('Key Assumptions'!K77,0)</f>
        <v>1</v>
      </c>
      <c r="L7" s="566">
        <f>ROUNDUP('Key Assumptions'!L77,0)</f>
        <v>1</v>
      </c>
      <c r="M7" s="566">
        <f>ROUNDUP('Key Assumptions'!M77,0)</f>
        <v>1</v>
      </c>
      <c r="N7" s="566">
        <f>ROUNDUP('Key Assumptions'!N77,0)</f>
        <v>1</v>
      </c>
      <c r="O7" s="566">
        <f>ROUNDUP('Key Assumptions'!O77,0)</f>
        <v>1</v>
      </c>
      <c r="P7" s="566">
        <f>ROUNDUP('Key Assumptions'!P77,0)</f>
        <v>1</v>
      </c>
      <c r="Q7" s="566">
        <f>ROUNDUP('Key Assumptions'!Q77,0)</f>
        <v>1</v>
      </c>
      <c r="R7" s="566">
        <f>ROUNDUP('Key Assumptions'!R77,0)</f>
        <v>1</v>
      </c>
      <c r="S7" s="566">
        <f>ROUNDUP('Key Assumptions'!S77,0)</f>
        <v>1</v>
      </c>
      <c r="T7" s="566">
        <f>ROUNDUP('Key Assumptions'!T77,0)</f>
        <v>0</v>
      </c>
      <c r="U7" s="566">
        <f>ROUNDUP('Key Assumptions'!U77,0)</f>
        <v>0</v>
      </c>
      <c r="V7" s="566">
        <f>ROUNDUP('Key Assumptions'!V77,0)</f>
        <v>0</v>
      </c>
      <c r="W7" s="566">
        <f>ROUNDUP('Key Assumptions'!W77,0)</f>
        <v>0</v>
      </c>
      <c r="X7" s="566">
        <f>ROUNDUP('Key Assumptions'!X77,0)</f>
        <v>1</v>
      </c>
      <c r="Y7" s="566">
        <f>ROUNDUP('Key Assumptions'!Y77,0)</f>
        <v>1</v>
      </c>
      <c r="Z7" s="566">
        <f>ROUNDUP('Key Assumptions'!Z77,0)</f>
        <v>1</v>
      </c>
      <c r="AA7" s="566">
        <f>ROUNDUP('Key Assumptions'!AA77,0)</f>
        <v>1</v>
      </c>
      <c r="AB7" s="566">
        <f>ROUNDUP('Key Assumptions'!AB77,0)</f>
        <v>1</v>
      </c>
    </row>
    <row r="8" spans="1:28" ht="18" customHeight="1">
      <c r="A8" s="228" t="s">
        <v>267</v>
      </c>
      <c r="B8" s="229"/>
      <c r="C8" s="293">
        <v>0</v>
      </c>
      <c r="D8" s="220">
        <f>+D7</f>
        <v>0</v>
      </c>
      <c r="E8" s="220">
        <f>D8+E7</f>
        <v>0</v>
      </c>
      <c r="F8" s="220">
        <f>E8+F7</f>
        <v>1</v>
      </c>
      <c r="G8" s="220">
        <f t="shared" ref="G8:AB8" si="0">F8+G7</f>
        <v>2</v>
      </c>
      <c r="H8" s="220">
        <f t="shared" si="0"/>
        <v>3</v>
      </c>
      <c r="I8" s="220">
        <f t="shared" si="0"/>
        <v>4</v>
      </c>
      <c r="J8" s="220">
        <f t="shared" si="0"/>
        <v>5</v>
      </c>
      <c r="K8" s="220">
        <f t="shared" si="0"/>
        <v>6</v>
      </c>
      <c r="L8" s="220">
        <f t="shared" si="0"/>
        <v>7</v>
      </c>
      <c r="M8" s="220">
        <f t="shared" si="0"/>
        <v>8</v>
      </c>
      <c r="N8" s="220">
        <f t="shared" si="0"/>
        <v>9</v>
      </c>
      <c r="O8" s="220">
        <f t="shared" si="0"/>
        <v>10</v>
      </c>
      <c r="P8" s="220">
        <f t="shared" si="0"/>
        <v>11</v>
      </c>
      <c r="Q8" s="220">
        <f t="shared" si="0"/>
        <v>12</v>
      </c>
      <c r="R8" s="220">
        <f t="shared" si="0"/>
        <v>13</v>
      </c>
      <c r="S8" s="220">
        <f t="shared" si="0"/>
        <v>14</v>
      </c>
      <c r="T8" s="220">
        <f t="shared" si="0"/>
        <v>14</v>
      </c>
      <c r="U8" s="220">
        <f t="shared" si="0"/>
        <v>14</v>
      </c>
      <c r="V8" s="220">
        <f t="shared" si="0"/>
        <v>14</v>
      </c>
      <c r="W8" s="220">
        <f t="shared" si="0"/>
        <v>14</v>
      </c>
      <c r="X8" s="491">
        <f t="shared" si="0"/>
        <v>15</v>
      </c>
      <c r="Y8" s="491">
        <f t="shared" si="0"/>
        <v>16</v>
      </c>
      <c r="Z8" s="491">
        <f t="shared" si="0"/>
        <v>17</v>
      </c>
      <c r="AA8" s="491">
        <f t="shared" si="0"/>
        <v>18</v>
      </c>
      <c r="AB8" s="491">
        <f t="shared" si="0"/>
        <v>19</v>
      </c>
    </row>
    <row r="9" spans="1:28">
      <c r="A9" s="222" t="s">
        <v>268</v>
      </c>
      <c r="B9" s="222"/>
      <c r="C9" s="223"/>
      <c r="D9" s="224"/>
      <c r="E9" s="224"/>
      <c r="F9" s="224"/>
      <c r="G9" s="230"/>
      <c r="H9" s="224"/>
      <c r="I9" s="224"/>
      <c r="J9" s="224"/>
      <c r="K9" s="230"/>
      <c r="L9" s="224"/>
      <c r="M9" s="224"/>
      <c r="N9" s="224"/>
      <c r="O9" s="230"/>
      <c r="P9" s="224"/>
      <c r="Q9" s="224"/>
      <c r="R9" s="224"/>
      <c r="S9" s="230"/>
      <c r="T9" s="224"/>
      <c r="U9" s="224"/>
      <c r="V9" s="224"/>
      <c r="W9" s="230"/>
      <c r="X9" s="245"/>
      <c r="Y9" s="224"/>
      <c r="Z9" s="224"/>
      <c r="AA9" s="225"/>
      <c r="AB9" s="245"/>
    </row>
    <row r="10" spans="1:28">
      <c r="A10" s="296" t="s">
        <v>269</v>
      </c>
      <c r="B10" s="296"/>
      <c r="C10" s="297"/>
      <c r="D10" s="298"/>
      <c r="E10" s="298"/>
      <c r="F10" s="298"/>
      <c r="G10" s="299"/>
      <c r="H10" s="298"/>
      <c r="I10" s="298"/>
      <c r="J10" s="298"/>
      <c r="K10" s="299"/>
      <c r="L10" s="298"/>
      <c r="M10" s="298"/>
      <c r="N10" s="298"/>
      <c r="O10" s="299"/>
      <c r="P10" s="298"/>
      <c r="Q10" s="298"/>
      <c r="R10" s="298"/>
      <c r="S10" s="299"/>
      <c r="T10" s="298"/>
      <c r="U10" s="298"/>
      <c r="V10" s="298"/>
      <c r="W10" s="299"/>
      <c r="X10" s="258"/>
      <c r="Y10" s="259"/>
      <c r="Z10" s="259"/>
      <c r="AA10" s="260"/>
      <c r="AB10" s="258"/>
    </row>
    <row r="11" spans="1:28" ht="18" customHeight="1">
      <c r="A11" s="226" t="s">
        <v>266</v>
      </c>
      <c r="B11" s="226"/>
      <c r="C11" s="220"/>
      <c r="D11" s="566">
        <f>ROUNDUP('Key Assumptions'!D78,0)</f>
        <v>0</v>
      </c>
      <c r="E11" s="566">
        <f>ROUNDUP('Key Assumptions'!E78,0)</f>
        <v>0</v>
      </c>
      <c r="F11" s="566">
        <f>ROUNDUP('Key Assumptions'!F78,0)</f>
        <v>1</v>
      </c>
      <c r="G11" s="566">
        <f>ROUNDUP('Key Assumptions'!G78,0)</f>
        <v>1</v>
      </c>
      <c r="H11" s="566">
        <f>ROUNDUP('Key Assumptions'!H78,0)</f>
        <v>1</v>
      </c>
      <c r="I11" s="566">
        <f>ROUNDUP('Key Assumptions'!I78,0)</f>
        <v>1</v>
      </c>
      <c r="J11" s="566">
        <f>ROUNDUP('Key Assumptions'!J78,0)</f>
        <v>1</v>
      </c>
      <c r="K11" s="566">
        <f>ROUNDUP('Key Assumptions'!K78,0)</f>
        <v>1</v>
      </c>
      <c r="L11" s="566">
        <f>ROUNDUP('Key Assumptions'!L78,0)</f>
        <v>1</v>
      </c>
      <c r="M11" s="566">
        <f>ROUNDUP('Key Assumptions'!M78,0)</f>
        <v>1</v>
      </c>
      <c r="N11" s="566">
        <f>ROUNDUP('Key Assumptions'!N78,0)</f>
        <v>1</v>
      </c>
      <c r="O11" s="566">
        <f>ROUNDUP('Key Assumptions'!O78,0)</f>
        <v>1</v>
      </c>
      <c r="P11" s="566">
        <f>ROUNDUP('Key Assumptions'!P78,0)</f>
        <v>1</v>
      </c>
      <c r="Q11" s="566">
        <f>ROUNDUP('Key Assumptions'!Q78,0)</f>
        <v>1</v>
      </c>
      <c r="R11" s="566">
        <f>ROUNDUP('Key Assumptions'!R78,0)</f>
        <v>1</v>
      </c>
      <c r="S11" s="566">
        <f>ROUNDUP('Key Assumptions'!S78,0)</f>
        <v>1</v>
      </c>
      <c r="T11" s="566">
        <f>ROUNDUP('Key Assumptions'!T78,0)</f>
        <v>0</v>
      </c>
      <c r="U11" s="566">
        <f>ROUNDUP('Key Assumptions'!U78,0)</f>
        <v>0</v>
      </c>
      <c r="V11" s="566">
        <f>ROUNDUP('Key Assumptions'!V78,0)</f>
        <v>0</v>
      </c>
      <c r="W11" s="566">
        <f>ROUNDUP('Key Assumptions'!W78,0)</f>
        <v>0</v>
      </c>
      <c r="X11" s="566">
        <f>ROUNDUP('Key Assumptions'!X78,0)</f>
        <v>1</v>
      </c>
      <c r="Y11" s="566">
        <f>ROUNDUP('Key Assumptions'!Y78,0)</f>
        <v>1</v>
      </c>
      <c r="Z11" s="566">
        <f>ROUNDUP('Key Assumptions'!Z78,0)</f>
        <v>1</v>
      </c>
      <c r="AA11" s="566">
        <f>ROUNDUP('Key Assumptions'!AA78,0)</f>
        <v>1</v>
      </c>
      <c r="AB11" s="566">
        <f>ROUNDUP('Key Assumptions'!AB78,0)</f>
        <v>1</v>
      </c>
    </row>
    <row r="12" spans="1:28" ht="18" customHeight="1">
      <c r="A12" s="228" t="s">
        <v>267</v>
      </c>
      <c r="B12" s="229"/>
      <c r="C12" s="293">
        <v>0</v>
      </c>
      <c r="D12" s="220">
        <f>+D11</f>
        <v>0</v>
      </c>
      <c r="E12" s="220">
        <f>D12+E11</f>
        <v>0</v>
      </c>
      <c r="F12" s="220">
        <f>E12+F11</f>
        <v>1</v>
      </c>
      <c r="G12" s="220">
        <f>G11+F12</f>
        <v>2</v>
      </c>
      <c r="H12" s="220">
        <v>0</v>
      </c>
      <c r="I12" s="220">
        <f t="shared" ref="I12:W12" si="1">I11+H12</f>
        <v>1</v>
      </c>
      <c r="J12" s="220">
        <v>0</v>
      </c>
      <c r="K12" s="220">
        <f t="shared" si="1"/>
        <v>1</v>
      </c>
      <c r="L12" s="220">
        <f t="shared" si="1"/>
        <v>2</v>
      </c>
      <c r="M12" s="220">
        <f t="shared" si="1"/>
        <v>3</v>
      </c>
      <c r="N12" s="220">
        <f t="shared" si="1"/>
        <v>4</v>
      </c>
      <c r="O12" s="220">
        <f t="shared" si="1"/>
        <v>5</v>
      </c>
      <c r="P12" s="220">
        <f t="shared" si="1"/>
        <v>6</v>
      </c>
      <c r="Q12" s="220">
        <f t="shared" si="1"/>
        <v>7</v>
      </c>
      <c r="R12" s="220">
        <f t="shared" si="1"/>
        <v>8</v>
      </c>
      <c r="S12" s="220">
        <f t="shared" si="1"/>
        <v>9</v>
      </c>
      <c r="T12" s="220">
        <f t="shared" si="1"/>
        <v>9</v>
      </c>
      <c r="U12" s="220">
        <f t="shared" si="1"/>
        <v>9</v>
      </c>
      <c r="V12" s="220">
        <f t="shared" si="1"/>
        <v>9</v>
      </c>
      <c r="W12" s="220">
        <f t="shared" si="1"/>
        <v>9</v>
      </c>
      <c r="X12" s="491">
        <f t="shared" ref="X12:AB12" si="2">W12+X11</f>
        <v>10</v>
      </c>
      <c r="Y12" s="491">
        <f t="shared" si="2"/>
        <v>11</v>
      </c>
      <c r="Z12" s="491">
        <f t="shared" si="2"/>
        <v>12</v>
      </c>
      <c r="AA12" s="491">
        <f t="shared" si="2"/>
        <v>13</v>
      </c>
      <c r="AB12" s="491">
        <f t="shared" si="2"/>
        <v>14</v>
      </c>
    </row>
    <row r="13" spans="1:28">
      <c r="A13" s="222" t="s">
        <v>270</v>
      </c>
      <c r="B13" s="222"/>
      <c r="C13" s="223"/>
      <c r="D13" s="224"/>
      <c r="E13" s="224"/>
      <c r="F13" s="224"/>
      <c r="G13" s="230"/>
      <c r="H13" s="224"/>
      <c r="I13" s="224"/>
      <c r="J13" s="224"/>
      <c r="K13" s="230"/>
      <c r="L13" s="224"/>
      <c r="M13" s="224"/>
      <c r="N13" s="224"/>
      <c r="O13" s="230"/>
      <c r="P13" s="224"/>
      <c r="Q13" s="224"/>
      <c r="R13" s="224"/>
      <c r="S13" s="230"/>
      <c r="T13" s="224"/>
      <c r="U13" s="224"/>
      <c r="V13" s="224"/>
      <c r="W13" s="230"/>
      <c r="X13" s="245"/>
      <c r="Y13" s="224"/>
      <c r="Z13" s="224"/>
      <c r="AA13" s="225"/>
      <c r="AB13" s="245"/>
    </row>
    <row r="14" spans="1:28">
      <c r="A14" s="296" t="s">
        <v>271</v>
      </c>
      <c r="B14" s="296"/>
      <c r="C14" s="297"/>
      <c r="D14" s="298"/>
      <c r="E14" s="298"/>
      <c r="F14" s="298"/>
      <c r="G14" s="299"/>
      <c r="H14" s="298"/>
      <c r="I14" s="298"/>
      <c r="J14" s="298"/>
      <c r="K14" s="299"/>
      <c r="L14" s="298"/>
      <c r="M14" s="298"/>
      <c r="N14" s="298"/>
      <c r="O14" s="299"/>
      <c r="P14" s="298"/>
      <c r="Q14" s="298"/>
      <c r="R14" s="298"/>
      <c r="S14" s="299"/>
      <c r="T14" s="298"/>
      <c r="U14" s="298"/>
      <c r="V14" s="298"/>
      <c r="W14" s="299"/>
      <c r="X14" s="258"/>
      <c r="Y14" s="259"/>
      <c r="Z14" s="259"/>
      <c r="AA14" s="260"/>
      <c r="AB14" s="258"/>
    </row>
    <row r="15" spans="1:28" ht="18" customHeight="1">
      <c r="A15" s="226" t="s">
        <v>266</v>
      </c>
      <c r="B15" s="226"/>
      <c r="C15" s="231"/>
      <c r="D15" s="566">
        <f>ROUNDUP('Key Assumptions'!D79,0)</f>
        <v>0</v>
      </c>
      <c r="E15" s="566">
        <f>ROUNDUP('Key Assumptions'!E79,0)</f>
        <v>0</v>
      </c>
      <c r="F15" s="566">
        <f>ROUNDUP('Key Assumptions'!F79,0)</f>
        <v>1</v>
      </c>
      <c r="G15" s="566">
        <f>ROUNDUP('Key Assumptions'!G79,0)</f>
        <v>1</v>
      </c>
      <c r="H15" s="566">
        <f>ROUNDUP('Key Assumptions'!H79,0)</f>
        <v>1</v>
      </c>
      <c r="I15" s="566">
        <f>ROUNDUP('Key Assumptions'!I79,0)</f>
        <v>1</v>
      </c>
      <c r="J15" s="566">
        <f>ROUNDUP('Key Assumptions'!J79,0)</f>
        <v>1</v>
      </c>
      <c r="K15" s="566">
        <f>ROUNDUP('Key Assumptions'!K79,0)</f>
        <v>1</v>
      </c>
      <c r="L15" s="566">
        <f>ROUNDUP('Key Assumptions'!L79,0)</f>
        <v>1</v>
      </c>
      <c r="M15" s="566">
        <f>ROUNDUP('Key Assumptions'!M79,0)</f>
        <v>1</v>
      </c>
      <c r="N15" s="566">
        <f>ROUNDUP('Key Assumptions'!N79,0)</f>
        <v>1</v>
      </c>
      <c r="O15" s="566">
        <f>ROUNDUP('Key Assumptions'!O79,0)</f>
        <v>1</v>
      </c>
      <c r="P15" s="566">
        <f>ROUNDUP('Key Assumptions'!P79,0)</f>
        <v>1</v>
      </c>
      <c r="Q15" s="566">
        <f>ROUNDUP('Key Assumptions'!Q79,0)</f>
        <v>1</v>
      </c>
      <c r="R15" s="566">
        <f>ROUNDUP('Key Assumptions'!R79,0)</f>
        <v>1</v>
      </c>
      <c r="S15" s="566">
        <f>ROUNDUP('Key Assumptions'!S79,0)</f>
        <v>1</v>
      </c>
      <c r="T15" s="566">
        <f>ROUNDUP('Key Assumptions'!T79,0)</f>
        <v>0</v>
      </c>
      <c r="U15" s="566">
        <f>ROUNDUP('Key Assumptions'!U79,0)</f>
        <v>0</v>
      </c>
      <c r="V15" s="566">
        <f>ROUNDUP('Key Assumptions'!V79,0)</f>
        <v>0</v>
      </c>
      <c r="W15" s="566">
        <f>ROUNDUP('Key Assumptions'!W79,0)</f>
        <v>0</v>
      </c>
      <c r="X15" s="566">
        <f>ROUNDUP('Key Assumptions'!X79,0)</f>
        <v>1</v>
      </c>
      <c r="Y15" s="566">
        <f>ROUNDUP('Key Assumptions'!Y79,0)</f>
        <v>1</v>
      </c>
      <c r="Z15" s="566">
        <f>ROUNDUP('Key Assumptions'!Z79,0)</f>
        <v>1</v>
      </c>
      <c r="AA15" s="566">
        <f>ROUNDUP('Key Assumptions'!AA79,0)</f>
        <v>1</v>
      </c>
      <c r="AB15" s="566">
        <f>ROUNDUP('Key Assumptions'!AB79,0)</f>
        <v>1</v>
      </c>
    </row>
    <row r="16" spans="1:28" ht="18" customHeight="1">
      <c r="A16" s="228" t="s">
        <v>267</v>
      </c>
      <c r="B16" s="229"/>
      <c r="C16" s="293">
        <v>0</v>
      </c>
      <c r="D16" s="220">
        <f>+D15</f>
        <v>0</v>
      </c>
      <c r="E16" s="220">
        <f>D16+E15</f>
        <v>0</v>
      </c>
      <c r="F16" s="220">
        <f>E16+F15</f>
        <v>1</v>
      </c>
      <c r="G16" s="220">
        <f t="shared" ref="G16:AB16" si="3">F16+G15</f>
        <v>2</v>
      </c>
      <c r="H16" s="220">
        <f t="shared" si="3"/>
        <v>3</v>
      </c>
      <c r="I16" s="220">
        <f t="shared" si="3"/>
        <v>4</v>
      </c>
      <c r="J16" s="220">
        <f t="shared" si="3"/>
        <v>5</v>
      </c>
      <c r="K16" s="220">
        <f t="shared" si="3"/>
        <v>6</v>
      </c>
      <c r="L16" s="220">
        <f t="shared" si="3"/>
        <v>7</v>
      </c>
      <c r="M16" s="220">
        <f t="shared" si="3"/>
        <v>8</v>
      </c>
      <c r="N16" s="220">
        <f t="shared" si="3"/>
        <v>9</v>
      </c>
      <c r="O16" s="220">
        <f t="shared" si="3"/>
        <v>10</v>
      </c>
      <c r="P16" s="220">
        <f t="shared" si="3"/>
        <v>11</v>
      </c>
      <c r="Q16" s="220">
        <f t="shared" si="3"/>
        <v>12</v>
      </c>
      <c r="R16" s="220">
        <f t="shared" si="3"/>
        <v>13</v>
      </c>
      <c r="S16" s="220">
        <f t="shared" si="3"/>
        <v>14</v>
      </c>
      <c r="T16" s="220">
        <f t="shared" si="3"/>
        <v>14</v>
      </c>
      <c r="U16" s="220">
        <f t="shared" si="3"/>
        <v>14</v>
      </c>
      <c r="V16" s="220">
        <f t="shared" si="3"/>
        <v>14</v>
      </c>
      <c r="W16" s="220">
        <f t="shared" si="3"/>
        <v>14</v>
      </c>
      <c r="X16" s="491">
        <f t="shared" si="3"/>
        <v>15</v>
      </c>
      <c r="Y16" s="491">
        <f t="shared" si="3"/>
        <v>16</v>
      </c>
      <c r="Z16" s="491">
        <f t="shared" si="3"/>
        <v>17</v>
      </c>
      <c r="AA16" s="491">
        <f t="shared" si="3"/>
        <v>18</v>
      </c>
      <c r="AB16" s="491">
        <f t="shared" si="3"/>
        <v>19</v>
      </c>
    </row>
    <row r="17" spans="1:28">
      <c r="A17" s="222" t="s">
        <v>272</v>
      </c>
      <c r="B17" s="222"/>
      <c r="C17" s="223"/>
      <c r="D17" s="224"/>
      <c r="E17" s="224"/>
      <c r="F17" s="224"/>
      <c r="G17" s="230"/>
      <c r="H17" s="224"/>
      <c r="I17" s="224"/>
      <c r="J17" s="224"/>
      <c r="K17" s="230"/>
      <c r="L17" s="224"/>
      <c r="M17" s="224"/>
      <c r="N17" s="224"/>
      <c r="O17" s="230"/>
      <c r="P17" s="224"/>
      <c r="Q17" s="224"/>
      <c r="R17" s="224"/>
      <c r="S17" s="230"/>
      <c r="T17" s="224"/>
      <c r="U17" s="224"/>
      <c r="V17" s="224"/>
      <c r="W17" s="230"/>
      <c r="X17" s="245"/>
      <c r="Y17" s="224"/>
      <c r="Z17" s="224"/>
      <c r="AA17" s="225"/>
      <c r="AB17" s="245"/>
    </row>
    <row r="18" spans="1:28">
      <c r="A18" s="296" t="s">
        <v>273</v>
      </c>
      <c r="B18" s="296"/>
      <c r="C18" s="297"/>
      <c r="D18" s="298"/>
      <c r="E18" s="298"/>
      <c r="F18" s="298"/>
      <c r="G18" s="299"/>
      <c r="H18" s="298"/>
      <c r="I18" s="298"/>
      <c r="J18" s="298"/>
      <c r="K18" s="299"/>
      <c r="L18" s="298"/>
      <c r="M18" s="298"/>
      <c r="N18" s="298"/>
      <c r="O18" s="299"/>
      <c r="P18" s="298"/>
      <c r="Q18" s="298"/>
      <c r="R18" s="298"/>
      <c r="S18" s="299"/>
      <c r="T18" s="298"/>
      <c r="U18" s="298"/>
      <c r="V18" s="298"/>
      <c r="W18" s="299"/>
      <c r="X18" s="258"/>
      <c r="Y18" s="259"/>
      <c r="Z18" s="259"/>
      <c r="AA18" s="260"/>
      <c r="AB18" s="258"/>
    </row>
    <row r="19" spans="1:28" ht="18" customHeight="1">
      <c r="A19" s="226" t="s">
        <v>266</v>
      </c>
      <c r="B19" s="226"/>
      <c r="C19" s="220"/>
      <c r="D19" s="566">
        <f>ROUNDUP('Key Assumptions'!D80,0)</f>
        <v>0</v>
      </c>
      <c r="E19" s="566">
        <f>ROUNDUP('Key Assumptions'!E80,0)</f>
        <v>0</v>
      </c>
      <c r="F19" s="566">
        <f>ROUNDUP('Key Assumptions'!F80,0)</f>
        <v>1</v>
      </c>
      <c r="G19" s="566">
        <f>ROUNDUP('Key Assumptions'!G80,0)</f>
        <v>1</v>
      </c>
      <c r="H19" s="566">
        <f>ROUNDUP('Key Assumptions'!H80,0)</f>
        <v>1</v>
      </c>
      <c r="I19" s="566">
        <f>ROUNDUP('Key Assumptions'!I80,0)</f>
        <v>1</v>
      </c>
      <c r="J19" s="566">
        <f>ROUNDUP('Key Assumptions'!J80,0)</f>
        <v>1</v>
      </c>
      <c r="K19" s="566">
        <f>ROUNDUP('Key Assumptions'!K80,0)</f>
        <v>1</v>
      </c>
      <c r="L19" s="566">
        <f>ROUNDUP('Key Assumptions'!L80,0)</f>
        <v>1</v>
      </c>
      <c r="M19" s="566">
        <f>ROUNDUP('Key Assumptions'!M80,0)</f>
        <v>1</v>
      </c>
      <c r="N19" s="566">
        <f>ROUNDUP('Key Assumptions'!N80,0)</f>
        <v>1</v>
      </c>
      <c r="O19" s="566">
        <f>ROUNDUP('Key Assumptions'!O80,0)</f>
        <v>1</v>
      </c>
      <c r="P19" s="566">
        <f>ROUNDUP('Key Assumptions'!P80,0)</f>
        <v>1</v>
      </c>
      <c r="Q19" s="566">
        <f>ROUNDUP('Key Assumptions'!Q80,0)</f>
        <v>1</v>
      </c>
      <c r="R19" s="566">
        <f>ROUNDUP('Key Assumptions'!R80,0)</f>
        <v>1</v>
      </c>
      <c r="S19" s="566">
        <f>ROUNDUP('Key Assumptions'!S80,0)</f>
        <v>1</v>
      </c>
      <c r="T19" s="566">
        <f>ROUNDUP('Key Assumptions'!T80,0)</f>
        <v>0</v>
      </c>
      <c r="U19" s="566">
        <f>ROUNDUP('Key Assumptions'!U80,0)</f>
        <v>0</v>
      </c>
      <c r="V19" s="566">
        <f>ROUNDUP('Key Assumptions'!V80,0)</f>
        <v>0</v>
      </c>
      <c r="W19" s="566">
        <f>ROUNDUP('Key Assumptions'!W80,0)</f>
        <v>0</v>
      </c>
      <c r="X19" s="566">
        <f>ROUNDUP('Key Assumptions'!X80,0)</f>
        <v>1</v>
      </c>
      <c r="Y19" s="566">
        <f>ROUNDUP('Key Assumptions'!Y80,0)</f>
        <v>1</v>
      </c>
      <c r="Z19" s="566">
        <f>ROUNDUP('Key Assumptions'!Z80,0)</f>
        <v>1</v>
      </c>
      <c r="AA19" s="566">
        <f>ROUNDUP('Key Assumptions'!AA80,0)</f>
        <v>1</v>
      </c>
      <c r="AB19" s="566">
        <f>ROUNDUP('Key Assumptions'!AB80,0)</f>
        <v>1</v>
      </c>
    </row>
    <row r="20" spans="1:28" ht="18" customHeight="1">
      <c r="A20" s="228" t="s">
        <v>267</v>
      </c>
      <c r="B20" s="229"/>
      <c r="C20" s="293">
        <v>0</v>
      </c>
      <c r="D20" s="220">
        <f>+D19</f>
        <v>0</v>
      </c>
      <c r="E20" s="220">
        <f>D20+E19</f>
        <v>0</v>
      </c>
      <c r="F20" s="220">
        <f t="shared" ref="F20:G20" si="4">E20+F19</f>
        <v>1</v>
      </c>
      <c r="G20" s="220">
        <f t="shared" si="4"/>
        <v>2</v>
      </c>
      <c r="H20" s="227">
        <v>0</v>
      </c>
      <c r="I20" s="220">
        <f>H20+I19</f>
        <v>1</v>
      </c>
      <c r="J20" s="220">
        <f t="shared" ref="J20:AB20" si="5">I20+J19</f>
        <v>2</v>
      </c>
      <c r="K20" s="220">
        <f t="shared" si="5"/>
        <v>3</v>
      </c>
      <c r="L20" s="220">
        <f t="shared" si="5"/>
        <v>4</v>
      </c>
      <c r="M20" s="220">
        <f t="shared" si="5"/>
        <v>5</v>
      </c>
      <c r="N20" s="220">
        <f t="shared" si="5"/>
        <v>6</v>
      </c>
      <c r="O20" s="220">
        <f t="shared" si="5"/>
        <v>7</v>
      </c>
      <c r="P20" s="220">
        <f t="shared" si="5"/>
        <v>8</v>
      </c>
      <c r="Q20" s="220">
        <f t="shared" si="5"/>
        <v>9</v>
      </c>
      <c r="R20" s="220">
        <f t="shared" si="5"/>
        <v>10</v>
      </c>
      <c r="S20" s="220">
        <f t="shared" si="5"/>
        <v>11</v>
      </c>
      <c r="T20" s="220">
        <f t="shared" si="5"/>
        <v>11</v>
      </c>
      <c r="U20" s="220">
        <f t="shared" si="5"/>
        <v>11</v>
      </c>
      <c r="V20" s="220">
        <f t="shared" si="5"/>
        <v>11</v>
      </c>
      <c r="W20" s="220">
        <f t="shared" si="5"/>
        <v>11</v>
      </c>
      <c r="X20" s="491">
        <f t="shared" si="5"/>
        <v>12</v>
      </c>
      <c r="Y20" s="491">
        <f t="shared" si="5"/>
        <v>13</v>
      </c>
      <c r="Z20" s="491">
        <f t="shared" si="5"/>
        <v>14</v>
      </c>
      <c r="AA20" s="491">
        <f t="shared" si="5"/>
        <v>15</v>
      </c>
      <c r="AB20" s="491">
        <f t="shared" si="5"/>
        <v>16</v>
      </c>
    </row>
    <row r="21" spans="1:28">
      <c r="A21" s="222" t="s">
        <v>274</v>
      </c>
      <c r="B21" s="222"/>
      <c r="C21" s="223"/>
      <c r="D21" s="224"/>
      <c r="E21" s="224"/>
      <c r="F21" s="224"/>
      <c r="G21" s="230"/>
      <c r="H21" s="224"/>
      <c r="I21" s="224"/>
      <c r="J21" s="224"/>
      <c r="K21" s="230"/>
      <c r="L21" s="224"/>
      <c r="M21" s="224"/>
      <c r="N21" s="224"/>
      <c r="O21" s="230"/>
      <c r="P21" s="224"/>
      <c r="Q21" s="224"/>
      <c r="R21" s="224"/>
      <c r="S21" s="230"/>
      <c r="T21" s="224"/>
      <c r="U21" s="224"/>
      <c r="V21" s="224"/>
      <c r="W21" s="230"/>
      <c r="X21" s="245"/>
      <c r="Y21" s="224"/>
      <c r="Z21" s="224"/>
      <c r="AA21" s="225"/>
      <c r="AB21" s="245"/>
    </row>
    <row r="22" spans="1:28">
      <c r="A22" s="296" t="s">
        <v>369</v>
      </c>
      <c r="B22" s="300"/>
      <c r="C22" s="301"/>
      <c r="D22" s="302"/>
      <c r="E22" s="302"/>
      <c r="F22" s="302"/>
      <c r="G22" s="303"/>
      <c r="H22" s="302"/>
      <c r="I22" s="302"/>
      <c r="J22" s="302"/>
      <c r="K22" s="303"/>
      <c r="L22" s="302"/>
      <c r="M22" s="302"/>
      <c r="N22" s="302"/>
      <c r="O22" s="303"/>
      <c r="P22" s="302"/>
      <c r="Q22" s="302"/>
      <c r="R22" s="302"/>
      <c r="S22" s="303"/>
      <c r="T22" s="302"/>
      <c r="U22" s="302"/>
      <c r="V22" s="302"/>
      <c r="W22" s="303"/>
      <c r="X22" s="258"/>
      <c r="Y22" s="259"/>
      <c r="Z22" s="259"/>
      <c r="AA22" s="260"/>
      <c r="AB22" s="258"/>
    </row>
    <row r="23" spans="1:28" ht="18" customHeight="1">
      <c r="A23" s="226" t="s">
        <v>266</v>
      </c>
      <c r="B23" s="226"/>
      <c r="C23" s="220"/>
      <c r="D23" s="566">
        <f>ROUNDUP('Key Assumptions'!D81,0)</f>
        <v>0</v>
      </c>
      <c r="E23" s="566">
        <f>ROUNDUP('Key Assumptions'!E81,0)</f>
        <v>0</v>
      </c>
      <c r="F23" s="566">
        <f>ROUNDUP('Key Assumptions'!F81,0)</f>
        <v>0</v>
      </c>
      <c r="G23" s="566">
        <f>ROUNDUP('Key Assumptions'!G81,0)</f>
        <v>0</v>
      </c>
      <c r="H23" s="566">
        <f>ROUNDUP('Key Assumptions'!H81,0)</f>
        <v>0</v>
      </c>
      <c r="I23" s="566">
        <f>ROUNDUP('Key Assumptions'!I81,0)</f>
        <v>0</v>
      </c>
      <c r="J23" s="566">
        <f>ROUNDUP('Key Assumptions'!J81,0)</f>
        <v>0</v>
      </c>
      <c r="K23" s="566">
        <f>ROUNDUP('Key Assumptions'!K81,0)</f>
        <v>0</v>
      </c>
      <c r="L23" s="566">
        <f>ROUNDUP('Key Assumptions'!L81,0)</f>
        <v>0</v>
      </c>
      <c r="M23" s="566">
        <f>ROUNDUP('Key Assumptions'!M81,0)</f>
        <v>0</v>
      </c>
      <c r="N23" s="566">
        <f>ROUNDUP('Key Assumptions'!N81,0)</f>
        <v>0</v>
      </c>
      <c r="O23" s="566">
        <f>ROUNDUP('Key Assumptions'!O81,0)</f>
        <v>0</v>
      </c>
      <c r="P23" s="566">
        <f>ROUNDUP('Key Assumptions'!P81,0)</f>
        <v>0</v>
      </c>
      <c r="Q23" s="566">
        <f>ROUNDUP('Key Assumptions'!Q81,0)</f>
        <v>0</v>
      </c>
      <c r="R23" s="566">
        <f>ROUNDUP('Key Assumptions'!R81,0)</f>
        <v>0</v>
      </c>
      <c r="S23" s="566">
        <f>ROUNDUP('Key Assumptions'!S81,0)</f>
        <v>0</v>
      </c>
      <c r="T23" s="566">
        <f>ROUNDUP('Key Assumptions'!T81,0)</f>
        <v>0</v>
      </c>
      <c r="U23" s="566">
        <f>ROUNDUP('Key Assumptions'!U81,0)</f>
        <v>0</v>
      </c>
      <c r="V23" s="566">
        <f>ROUNDUP('Key Assumptions'!V81,0)</f>
        <v>0</v>
      </c>
      <c r="W23" s="566">
        <f>ROUNDUP('Key Assumptions'!W81,0)</f>
        <v>0</v>
      </c>
      <c r="X23" s="566">
        <f>ROUNDUP('Key Assumptions'!X81,0)</f>
        <v>0</v>
      </c>
      <c r="Y23" s="566">
        <f>ROUNDUP('Key Assumptions'!Y81,0)</f>
        <v>0</v>
      </c>
      <c r="Z23" s="566">
        <f>ROUNDUP('Key Assumptions'!Z81,0)</f>
        <v>0</v>
      </c>
      <c r="AA23" s="566">
        <f>ROUNDUP('Key Assumptions'!AA81,0)</f>
        <v>0</v>
      </c>
      <c r="AB23" s="566">
        <f>ROUNDUP('Key Assumptions'!AB81,0)</f>
        <v>0</v>
      </c>
    </row>
    <row r="24" spans="1:28" ht="18" customHeight="1">
      <c r="A24" s="228" t="s">
        <v>267</v>
      </c>
      <c r="B24" s="229"/>
      <c r="C24" s="293">
        <v>0</v>
      </c>
      <c r="D24" s="220">
        <f>+D23</f>
        <v>0</v>
      </c>
      <c r="E24" s="220">
        <f>D24+E23</f>
        <v>0</v>
      </c>
      <c r="F24" s="220">
        <f t="shared" ref="F24" si="6">E24+F23</f>
        <v>0</v>
      </c>
      <c r="G24" s="220">
        <f t="shared" ref="G24" si="7">F24+G23</f>
        <v>0</v>
      </c>
      <c r="H24" s="220">
        <f t="shared" ref="H24" si="8">G24+H23</f>
        <v>0</v>
      </c>
      <c r="I24" s="220">
        <f t="shared" ref="I24" si="9">H24+I23</f>
        <v>0</v>
      </c>
      <c r="J24" s="220">
        <f t="shared" ref="J24" si="10">I24+J23</f>
        <v>0</v>
      </c>
      <c r="K24" s="220">
        <v>0</v>
      </c>
      <c r="L24" s="227">
        <f>K24+L23</f>
        <v>0</v>
      </c>
      <c r="M24" s="227">
        <f t="shared" ref="M24:AB24" si="11">L24+M23</f>
        <v>0</v>
      </c>
      <c r="N24" s="227">
        <f t="shared" si="11"/>
        <v>0</v>
      </c>
      <c r="O24" s="227">
        <f t="shared" si="11"/>
        <v>0</v>
      </c>
      <c r="P24" s="227">
        <f t="shared" si="11"/>
        <v>0</v>
      </c>
      <c r="Q24" s="227">
        <f t="shared" si="11"/>
        <v>0</v>
      </c>
      <c r="R24" s="227">
        <f t="shared" si="11"/>
        <v>0</v>
      </c>
      <c r="S24" s="227">
        <f t="shared" si="11"/>
        <v>0</v>
      </c>
      <c r="T24" s="227">
        <f t="shared" si="11"/>
        <v>0</v>
      </c>
      <c r="U24" s="227">
        <f t="shared" si="11"/>
        <v>0</v>
      </c>
      <c r="V24" s="227">
        <f t="shared" si="11"/>
        <v>0</v>
      </c>
      <c r="W24" s="227">
        <f t="shared" si="11"/>
        <v>0</v>
      </c>
      <c r="X24" s="491">
        <f t="shared" si="11"/>
        <v>0</v>
      </c>
      <c r="Y24" s="491">
        <f t="shared" si="11"/>
        <v>0</v>
      </c>
      <c r="Z24" s="491">
        <f t="shared" si="11"/>
        <v>0</v>
      </c>
      <c r="AA24" s="491">
        <f t="shared" si="11"/>
        <v>0</v>
      </c>
      <c r="AB24" s="491">
        <f t="shared" si="11"/>
        <v>0</v>
      </c>
    </row>
    <row r="25" spans="1:28">
      <c r="X25" s="550"/>
      <c r="Y25" s="550"/>
      <c r="Z25" s="550"/>
      <c r="AA25" s="550"/>
      <c r="AB25" s="550"/>
    </row>
    <row r="26" spans="1:28">
      <c r="V26" s="233" t="s">
        <v>275</v>
      </c>
      <c r="W26" s="217">
        <f>W8+W12</f>
        <v>23</v>
      </c>
      <c r="X26" s="550"/>
      <c r="Y26" s="550"/>
      <c r="Z26" s="550"/>
      <c r="AA26" s="550"/>
      <c r="AB26" s="550"/>
    </row>
    <row r="27" spans="1:28">
      <c r="X27" s="551"/>
      <c r="Y27" s="551"/>
      <c r="Z27" s="551"/>
      <c r="AA27" s="551"/>
      <c r="AB27" s="551"/>
    </row>
    <row r="28" spans="1:28">
      <c r="V28" s="233" t="s">
        <v>276</v>
      </c>
      <c r="W28" s="217">
        <f>W24+W20+W16</f>
        <v>25</v>
      </c>
      <c r="X28" s="551"/>
      <c r="Y28" s="551"/>
      <c r="Z28" s="551"/>
      <c r="AA28" s="551"/>
      <c r="AB28" s="551"/>
    </row>
    <row r="29" spans="1:28">
      <c r="X29" s="550"/>
      <c r="Y29" s="550"/>
      <c r="Z29" s="550"/>
      <c r="AA29" s="550"/>
      <c r="AB29" s="550"/>
    </row>
    <row r="30" spans="1:28">
      <c r="W30" s="217">
        <f>SUM(W26:W28)</f>
        <v>48</v>
      </c>
      <c r="X30" s="550"/>
      <c r="Y30" s="550"/>
      <c r="Z30" s="550"/>
      <c r="AA30" s="550"/>
      <c r="AB30" s="550"/>
    </row>
    <row r="31" spans="1:28">
      <c r="X31" s="551"/>
      <c r="Y31" s="551"/>
      <c r="Z31" s="551"/>
      <c r="AA31" s="551"/>
      <c r="AB31" s="551"/>
    </row>
    <row r="32" spans="1:28">
      <c r="X32" s="551"/>
      <c r="Y32" s="551"/>
      <c r="Z32" s="551"/>
      <c r="AA32" s="551"/>
      <c r="AB32" s="551"/>
    </row>
    <row r="33" spans="24:28">
      <c r="X33" s="550"/>
      <c r="Y33" s="550"/>
      <c r="Z33" s="550"/>
      <c r="AA33" s="550"/>
      <c r="AB33" s="550"/>
    </row>
    <row r="34" spans="24:28">
      <c r="X34" s="550"/>
      <c r="Y34" s="550"/>
      <c r="Z34" s="550"/>
      <c r="AA34" s="550"/>
      <c r="AB34" s="550"/>
    </row>
    <row r="35" spans="24:28">
      <c r="X35" s="551"/>
      <c r="Y35" s="551"/>
      <c r="Z35" s="551"/>
      <c r="AA35" s="551"/>
      <c r="AB35" s="551"/>
    </row>
    <row r="36" spans="24:28">
      <c r="X36" s="551"/>
      <c r="Y36" s="551"/>
      <c r="Z36" s="551"/>
      <c r="AA36" s="551"/>
      <c r="AB36" s="551"/>
    </row>
    <row r="37" spans="24:28">
      <c r="X37" s="550"/>
      <c r="Y37" s="550"/>
      <c r="Z37" s="550"/>
      <c r="AA37" s="550"/>
      <c r="AB37" s="550"/>
    </row>
  </sheetData>
  <mergeCells count="8">
    <mergeCell ref="X3:AB3"/>
    <mergeCell ref="T3:W3"/>
    <mergeCell ref="A3:A4"/>
    <mergeCell ref="C3:C4"/>
    <mergeCell ref="D3:G3"/>
    <mergeCell ref="H3:K3"/>
    <mergeCell ref="L3:O3"/>
    <mergeCell ref="P3:S3"/>
  </mergeCells>
  <phoneticPr fontId="3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dimension ref="A1:K27"/>
  <sheetViews>
    <sheetView topLeftCell="A3" workbookViewId="0">
      <selection activeCell="J9" sqref="J9"/>
    </sheetView>
  </sheetViews>
  <sheetFormatPr defaultColWidth="14.85546875" defaultRowHeight="15"/>
  <cols>
    <col min="1" max="1" width="34.85546875" customWidth="1"/>
    <col min="2" max="5" width="12" customWidth="1"/>
    <col min="6" max="6" width="18.7109375" customWidth="1"/>
    <col min="7" max="7" width="15.85546875" customWidth="1"/>
    <col min="8" max="8" width="20" style="568" bestFit="1" customWidth="1"/>
    <col min="9" max="11" width="14.85546875" style="568"/>
  </cols>
  <sheetData>
    <row r="1" spans="1:11" ht="15.75">
      <c r="A1" s="261" t="s">
        <v>351</v>
      </c>
    </row>
    <row r="2" spans="1:11" ht="6" customHeight="1"/>
    <row r="3" spans="1:11">
      <c r="A3" s="262" t="s">
        <v>157</v>
      </c>
    </row>
    <row r="4" spans="1:11" ht="6" customHeight="1"/>
    <row r="5" spans="1:11" ht="15.75">
      <c r="A5" s="709" t="s">
        <v>291</v>
      </c>
      <c r="B5" s="711" t="s">
        <v>290</v>
      </c>
      <c r="C5" s="711"/>
      <c r="D5" s="712" t="s">
        <v>456</v>
      </c>
      <c r="E5" s="712"/>
      <c r="F5" s="263" t="s">
        <v>457</v>
      </c>
      <c r="G5" s="713" t="s">
        <v>408</v>
      </c>
      <c r="H5" s="562"/>
      <c r="I5" s="569"/>
    </row>
    <row r="6" spans="1:11" ht="39">
      <c r="A6" s="710"/>
      <c r="B6" s="265" t="s">
        <v>160</v>
      </c>
      <c r="C6" s="265" t="s">
        <v>161</v>
      </c>
      <c r="D6" s="265" t="s">
        <v>160</v>
      </c>
      <c r="E6" s="265" t="s">
        <v>161</v>
      </c>
      <c r="F6" s="266" t="s">
        <v>301</v>
      </c>
      <c r="G6" s="714"/>
      <c r="H6" s="562"/>
      <c r="I6" s="551"/>
      <c r="J6" s="570"/>
    </row>
    <row r="7" spans="1:11" ht="15.95" customHeight="1">
      <c r="A7" s="268" t="s">
        <v>302</v>
      </c>
      <c r="B7" s="269"/>
      <c r="C7" s="269"/>
      <c r="D7" s="269"/>
      <c r="E7" s="269"/>
      <c r="F7" s="269"/>
      <c r="G7" s="269"/>
      <c r="H7" s="571"/>
      <c r="I7" s="569"/>
      <c r="K7" s="572"/>
    </row>
    <row r="8" spans="1:11" ht="20.100000000000001" customHeight="1">
      <c r="A8" s="270" t="s">
        <v>304</v>
      </c>
      <c r="B8" s="220">
        <v>20</v>
      </c>
      <c r="C8" s="220">
        <v>100</v>
      </c>
      <c r="D8" s="220">
        <v>20</v>
      </c>
      <c r="E8" s="220">
        <v>100</v>
      </c>
      <c r="F8" s="220" t="s">
        <v>303</v>
      </c>
      <c r="G8" s="381">
        <f>SUM('Key Assumptions'!C25)</f>
        <v>19.989999999999998</v>
      </c>
      <c r="H8" s="569"/>
      <c r="I8" s="569"/>
      <c r="J8" s="563"/>
      <c r="K8" s="563"/>
    </row>
    <row r="9" spans="1:11" ht="20.100000000000001" customHeight="1">
      <c r="A9" s="270" t="s">
        <v>305</v>
      </c>
      <c r="B9" s="220">
        <v>30</v>
      </c>
      <c r="C9" s="220">
        <v>30</v>
      </c>
      <c r="D9" s="220">
        <v>30</v>
      </c>
      <c r="E9" s="220">
        <v>30</v>
      </c>
      <c r="F9" s="220" t="s">
        <v>303</v>
      </c>
      <c r="G9" s="381">
        <f>SUM('Key Assumptions'!C26)</f>
        <v>29.99</v>
      </c>
      <c r="H9" s="569"/>
      <c r="I9" s="569"/>
      <c r="J9" s="563"/>
      <c r="K9" s="563"/>
    </row>
    <row r="10" spans="1:11" ht="20.100000000000001" customHeight="1">
      <c r="A10" s="270" t="s">
        <v>306</v>
      </c>
      <c r="B10" s="220">
        <v>40</v>
      </c>
      <c r="C10" s="220">
        <v>40</v>
      </c>
      <c r="D10" s="220">
        <v>40</v>
      </c>
      <c r="E10" s="220">
        <v>40</v>
      </c>
      <c r="F10" s="220" t="s">
        <v>303</v>
      </c>
      <c r="G10" s="381">
        <f>SUM('Key Assumptions'!C27)</f>
        <v>39.79</v>
      </c>
      <c r="H10" s="569"/>
      <c r="I10" s="569"/>
      <c r="J10" s="573"/>
      <c r="K10" s="563"/>
    </row>
    <row r="11" spans="1:11" ht="20.100000000000001" customHeight="1">
      <c r="A11" s="471" t="s">
        <v>479</v>
      </c>
      <c r="B11" s="220">
        <v>5</v>
      </c>
      <c r="C11" s="220">
        <v>5</v>
      </c>
      <c r="D11" s="220">
        <v>5</v>
      </c>
      <c r="E11" s="220">
        <v>5</v>
      </c>
      <c r="F11" s="220" t="s">
        <v>303</v>
      </c>
      <c r="G11" s="381">
        <f>SUM('Key Assumptions'!C28)</f>
        <v>0</v>
      </c>
      <c r="H11" s="569"/>
      <c r="I11" s="569"/>
      <c r="J11" s="573"/>
      <c r="K11" s="563"/>
    </row>
    <row r="12" spans="1:11" ht="20.100000000000001" customHeight="1">
      <c r="A12" s="472" t="s">
        <v>484</v>
      </c>
      <c r="B12" s="220"/>
      <c r="C12" s="220"/>
      <c r="D12" s="220"/>
      <c r="E12" s="220"/>
      <c r="F12" s="220"/>
      <c r="G12" s="381">
        <f>SUM('Key Assumptions'!C29)</f>
        <v>0</v>
      </c>
      <c r="H12" s="569"/>
      <c r="I12" s="569"/>
      <c r="J12" s="573"/>
      <c r="K12" s="563"/>
    </row>
    <row r="13" spans="1:11" ht="27" customHeight="1">
      <c r="A13" s="271" t="s">
        <v>307</v>
      </c>
      <c r="B13" s="272"/>
      <c r="C13" s="272"/>
      <c r="D13" s="272"/>
      <c r="E13" s="272"/>
      <c r="F13" s="272"/>
      <c r="G13" s="272"/>
      <c r="H13" s="574"/>
      <c r="I13" s="575"/>
      <c r="J13" s="569"/>
      <c r="K13" s="569"/>
    </row>
    <row r="14" spans="1:11" ht="20.100000000000001" customHeight="1">
      <c r="A14" s="270" t="s">
        <v>485</v>
      </c>
      <c r="B14" s="220">
        <v>20</v>
      </c>
      <c r="C14" s="220">
        <v>20</v>
      </c>
      <c r="D14" s="220">
        <v>20</v>
      </c>
      <c r="E14" s="220">
        <v>20</v>
      </c>
      <c r="F14" s="220" t="s">
        <v>303</v>
      </c>
      <c r="G14" s="381">
        <f>SUM('Key Assumptions'!C61)</f>
        <v>114.8</v>
      </c>
      <c r="H14" s="574"/>
      <c r="I14" s="575"/>
      <c r="J14" s="563"/>
      <c r="K14" s="563"/>
    </row>
    <row r="15" spans="1:11" ht="20.100000000000001" customHeight="1">
      <c r="A15" s="270" t="s">
        <v>486</v>
      </c>
      <c r="B15" s="220">
        <v>40</v>
      </c>
      <c r="C15" s="220">
        <v>40</v>
      </c>
      <c r="D15" s="220">
        <v>40</v>
      </c>
      <c r="E15" s="220">
        <v>40</v>
      </c>
      <c r="F15" s="220" t="s">
        <v>303</v>
      </c>
      <c r="G15" s="381">
        <f>SUM('Key Assumptions'!C62)</f>
        <v>213.8</v>
      </c>
      <c r="H15" s="574"/>
      <c r="I15" s="575"/>
      <c r="J15" s="563"/>
      <c r="K15" s="563"/>
    </row>
    <row r="16" spans="1:11" ht="20.100000000000001" customHeight="1">
      <c r="A16" s="270" t="s">
        <v>487</v>
      </c>
      <c r="B16" s="220">
        <v>60</v>
      </c>
      <c r="C16" s="220">
        <v>60</v>
      </c>
      <c r="D16" s="220">
        <v>60</v>
      </c>
      <c r="E16" s="220">
        <v>60</v>
      </c>
      <c r="F16" s="220" t="s">
        <v>303</v>
      </c>
      <c r="G16" s="381">
        <f>SUM('Key Assumptions'!C63)</f>
        <v>312.60000000000002</v>
      </c>
      <c r="H16" s="574"/>
      <c r="I16" s="575"/>
      <c r="J16" s="573"/>
      <c r="K16" s="563"/>
    </row>
    <row r="17" spans="1:11" ht="15.75">
      <c r="A17" s="270" t="s">
        <v>488</v>
      </c>
      <c r="B17" s="220">
        <v>80</v>
      </c>
      <c r="C17" s="220">
        <v>80</v>
      </c>
      <c r="D17" s="220">
        <v>80</v>
      </c>
      <c r="E17" s="220">
        <v>80</v>
      </c>
      <c r="F17" s="220" t="s">
        <v>303</v>
      </c>
      <c r="G17" s="381">
        <f>SUM('Key Assumptions'!C64)</f>
        <v>411</v>
      </c>
      <c r="H17" s="574"/>
      <c r="I17" s="575"/>
      <c r="J17" s="573"/>
      <c r="K17" s="563"/>
    </row>
    <row r="18" spans="1:11" ht="15.75">
      <c r="A18" s="270" t="s">
        <v>489</v>
      </c>
      <c r="B18" s="220">
        <v>100</v>
      </c>
      <c r="C18" s="220">
        <v>100</v>
      </c>
      <c r="D18" s="220">
        <v>100</v>
      </c>
      <c r="E18" s="220">
        <v>100</v>
      </c>
      <c r="F18" s="220" t="s">
        <v>303</v>
      </c>
      <c r="G18" s="381">
        <f>SUM('Key Assumptions'!C65)</f>
        <v>509</v>
      </c>
      <c r="H18" s="574"/>
      <c r="I18" s="575"/>
      <c r="J18" s="573"/>
      <c r="K18" s="563"/>
    </row>
    <row r="19" spans="1:11" ht="15.75">
      <c r="A19" s="270" t="s">
        <v>308</v>
      </c>
      <c r="B19" s="220">
        <v>10</v>
      </c>
      <c r="C19" s="220">
        <v>10</v>
      </c>
      <c r="D19" s="220">
        <v>10</v>
      </c>
      <c r="E19" s="220">
        <v>10</v>
      </c>
      <c r="F19" s="220" t="s">
        <v>303</v>
      </c>
      <c r="G19" s="381">
        <f>SUM('Key Assumptions'!C66)</f>
        <v>100</v>
      </c>
      <c r="H19" s="574"/>
      <c r="I19" s="575"/>
      <c r="J19" s="573"/>
      <c r="K19" s="573"/>
    </row>
    <row r="20" spans="1:11" ht="15.75">
      <c r="A20" s="270" t="s">
        <v>310</v>
      </c>
      <c r="B20" s="220">
        <v>100</v>
      </c>
      <c r="C20" s="220">
        <v>100</v>
      </c>
      <c r="D20" s="220">
        <v>100</v>
      </c>
      <c r="E20" s="220">
        <v>100</v>
      </c>
      <c r="F20" s="220" t="s">
        <v>303</v>
      </c>
      <c r="G20" s="381">
        <f>SUM('Key Assumptions'!C67)</f>
        <v>400</v>
      </c>
      <c r="H20" s="574"/>
      <c r="I20" s="575"/>
      <c r="J20" s="573"/>
      <c r="K20" s="573"/>
    </row>
    <row r="21" spans="1:11" ht="15.75">
      <c r="A21" s="270" t="s">
        <v>190</v>
      </c>
      <c r="B21" s="273">
        <v>1000</v>
      </c>
      <c r="C21" s="273">
        <v>1000</v>
      </c>
      <c r="D21" s="273">
        <v>1000</v>
      </c>
      <c r="E21" s="273">
        <v>1000</v>
      </c>
      <c r="F21" s="220" t="s">
        <v>303</v>
      </c>
      <c r="G21" s="381">
        <f>SUM('Key Assumptions'!C68)</f>
        <v>1200</v>
      </c>
      <c r="H21" s="574"/>
      <c r="I21" s="575"/>
      <c r="J21" s="573"/>
      <c r="K21" s="573"/>
    </row>
    <row r="22" spans="1:11" ht="15.75">
      <c r="A22" s="267"/>
      <c r="B22" s="267"/>
      <c r="C22" s="267"/>
      <c r="D22" s="267"/>
      <c r="E22" s="267"/>
      <c r="F22" s="267"/>
      <c r="G22" s="576"/>
      <c r="H22" s="574"/>
      <c r="I22" s="575"/>
    </row>
    <row r="23" spans="1:11">
      <c r="A23" s="274" t="s">
        <v>314</v>
      </c>
      <c r="B23" s="220"/>
      <c r="C23" s="220"/>
      <c r="D23" s="220"/>
      <c r="E23" s="220"/>
      <c r="F23" s="220"/>
      <c r="G23" s="491"/>
      <c r="H23" s="569"/>
      <c r="I23" s="569"/>
    </row>
    <row r="24" spans="1:11">
      <c r="A24" s="275" t="s">
        <v>315</v>
      </c>
      <c r="B24" s="220"/>
      <c r="C24" s="220"/>
      <c r="D24" s="220"/>
      <c r="E24" s="220"/>
      <c r="F24" s="220"/>
      <c r="G24" s="491"/>
      <c r="H24" s="569"/>
      <c r="I24" s="569"/>
    </row>
    <row r="25" spans="1:11">
      <c r="A25" s="276"/>
      <c r="B25" s="276"/>
      <c r="C25" s="276"/>
      <c r="D25" s="276"/>
      <c r="E25" s="276"/>
      <c r="F25" s="276"/>
      <c r="G25" s="276"/>
    </row>
    <row r="26" spans="1:11">
      <c r="A26" s="216"/>
      <c r="B26" s="216"/>
      <c r="C26" s="216"/>
      <c r="D26" s="216"/>
      <c r="E26" s="216"/>
      <c r="F26" s="216"/>
      <c r="G26" s="216"/>
    </row>
    <row r="27" spans="1:11">
      <c r="A27" s="216"/>
      <c r="B27" s="216"/>
      <c r="C27" s="216"/>
      <c r="D27" s="216"/>
      <c r="E27" s="216"/>
      <c r="F27" s="216"/>
      <c r="G27" s="216"/>
    </row>
  </sheetData>
  <mergeCells count="4">
    <mergeCell ref="A5:A6"/>
    <mergeCell ref="B5:C5"/>
    <mergeCell ref="D5:E5"/>
    <mergeCell ref="G5:G6"/>
  </mergeCells>
  <phoneticPr fontId="38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I10" sqref="I10"/>
    </sheetView>
  </sheetViews>
  <sheetFormatPr defaultColWidth="14.85546875" defaultRowHeight="15"/>
  <cols>
    <col min="1" max="1" width="32.7109375" customWidth="1"/>
    <col min="2" max="2" width="0.85546875" customWidth="1"/>
    <col min="3" max="3" width="20.7109375" customWidth="1"/>
    <col min="4" max="4" width="16.28515625" customWidth="1"/>
    <col min="5" max="5" width="26.140625" customWidth="1"/>
    <col min="7" max="7" width="19.85546875" customWidth="1"/>
  </cols>
  <sheetData>
    <row r="1" spans="1:10" ht="18">
      <c r="A1" s="278" t="s">
        <v>352</v>
      </c>
      <c r="B1" s="278"/>
    </row>
    <row r="2" spans="1:10" ht="8.1" customHeight="1">
      <c r="A2" s="279"/>
      <c r="B2" s="279"/>
    </row>
    <row r="3" spans="1:10" ht="15.95" customHeight="1">
      <c r="A3" t="s">
        <v>215</v>
      </c>
    </row>
    <row r="4" spans="1:10" ht="6" customHeight="1"/>
    <row r="5" spans="1:10" ht="48.95" customHeight="1" thickBot="1">
      <c r="A5" s="280" t="s">
        <v>216</v>
      </c>
      <c r="B5" s="280"/>
      <c r="C5" s="280" t="s">
        <v>217</v>
      </c>
      <c r="D5" s="280" t="s">
        <v>459</v>
      </c>
      <c r="E5" s="280" t="s">
        <v>332</v>
      </c>
      <c r="F5" s="280" t="s">
        <v>333</v>
      </c>
      <c r="G5" s="280" t="s">
        <v>334</v>
      </c>
      <c r="H5" s="281"/>
      <c r="I5" s="281"/>
      <c r="J5" s="281"/>
    </row>
    <row r="6" spans="1:10" ht="60" customHeight="1">
      <c r="A6" s="282" t="s">
        <v>335</v>
      </c>
      <c r="B6" s="283"/>
      <c r="C6" s="284" t="s">
        <v>336</v>
      </c>
      <c r="D6" s="285">
        <v>100</v>
      </c>
      <c r="E6" s="285">
        <v>10000</v>
      </c>
      <c r="F6" s="304">
        <f>SUM('Key Assumptions'!C97)</f>
        <v>19.989999999999998</v>
      </c>
      <c r="G6" s="286" t="s">
        <v>337</v>
      </c>
    </row>
    <row r="7" spans="1:10" ht="60" customHeight="1" thickBot="1">
      <c r="A7" s="282" t="s">
        <v>338</v>
      </c>
      <c r="B7" s="283"/>
      <c r="C7" s="284" t="s">
        <v>336</v>
      </c>
      <c r="D7" s="285">
        <v>1000</v>
      </c>
      <c r="E7" s="285">
        <v>10000</v>
      </c>
      <c r="F7" s="304">
        <f>SUM('Key Assumptions'!C98)</f>
        <v>99.99</v>
      </c>
      <c r="G7" s="286" t="s">
        <v>337</v>
      </c>
    </row>
    <row r="8" spans="1:10" ht="60" customHeight="1">
      <c r="A8" s="287" t="s">
        <v>339</v>
      </c>
      <c r="B8" s="283"/>
      <c r="C8" s="284" t="s">
        <v>336</v>
      </c>
      <c r="D8" s="285" t="s">
        <v>340</v>
      </c>
      <c r="E8" s="285">
        <v>10000</v>
      </c>
      <c r="F8" s="304">
        <f>SUM('Key Assumptions'!C99)</f>
        <v>1200</v>
      </c>
      <c r="G8" s="286" t="s">
        <v>226</v>
      </c>
    </row>
    <row r="9" spans="1:10" ht="60" customHeight="1">
      <c r="A9" s="282" t="s">
        <v>474</v>
      </c>
      <c r="B9" s="283"/>
      <c r="C9" s="284" t="s">
        <v>336</v>
      </c>
      <c r="D9" s="288" t="s">
        <v>475</v>
      </c>
      <c r="E9" s="285">
        <v>10000</v>
      </c>
      <c r="F9" s="304">
        <f>SUM('Key Assumptions'!C100)</f>
        <v>1600</v>
      </c>
      <c r="G9" s="286" t="s">
        <v>226</v>
      </c>
    </row>
    <row r="10" spans="1:10" ht="60" customHeight="1">
      <c r="A10" s="282" t="s">
        <v>231</v>
      </c>
      <c r="B10" s="283"/>
      <c r="C10" s="284" t="s">
        <v>336</v>
      </c>
      <c r="D10" s="285" t="s">
        <v>232</v>
      </c>
      <c r="E10" s="285">
        <v>10000</v>
      </c>
      <c r="F10" s="304">
        <f>SUM('Key Assumptions'!C101)</f>
        <v>3600</v>
      </c>
      <c r="G10" s="286" t="s">
        <v>226</v>
      </c>
    </row>
    <row r="11" spans="1:10" ht="5.0999999999999996" customHeight="1">
      <c r="A11" s="289"/>
      <c r="B11" s="289"/>
      <c r="C11" s="289"/>
      <c r="D11" s="289"/>
      <c r="E11" s="289"/>
      <c r="F11" s="289"/>
      <c r="G11" s="289"/>
    </row>
    <row r="12" spans="1:10">
      <c r="A12" s="715" t="s">
        <v>350</v>
      </c>
      <c r="B12" s="716"/>
      <c r="C12" s="716"/>
      <c r="D12" s="716"/>
      <c r="E12" s="716"/>
      <c r="F12" s="716"/>
      <c r="G12" s="717"/>
    </row>
    <row r="13" spans="1:10">
      <c r="A13" s="290"/>
      <c r="B13" s="290"/>
      <c r="C13" s="291"/>
      <c r="D13" s="291"/>
      <c r="E13" s="291"/>
      <c r="F13" s="291"/>
      <c r="G13" s="291"/>
    </row>
    <row r="14" spans="1:10">
      <c r="C14" s="264"/>
      <c r="D14" s="264"/>
      <c r="E14" s="264"/>
      <c r="F14" s="264"/>
      <c r="G14" s="264"/>
    </row>
    <row r="15" spans="1:10">
      <c r="C15" s="264"/>
      <c r="D15" s="264"/>
      <c r="E15" s="264"/>
      <c r="F15" s="264"/>
      <c r="G15" s="264"/>
    </row>
  </sheetData>
  <mergeCells count="1">
    <mergeCell ref="A12:G12"/>
  </mergeCells>
  <phoneticPr fontId="38" type="noConversion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V139"/>
  <sheetViews>
    <sheetView view="pageLayout" topLeftCell="A53" workbookViewId="0">
      <selection activeCell="F28" sqref="F28"/>
    </sheetView>
  </sheetViews>
  <sheetFormatPr defaultColWidth="8.85546875" defaultRowHeight="15"/>
  <cols>
    <col min="1" max="1" width="42.28515625" customWidth="1"/>
    <col min="2" max="2" width="13.7109375" customWidth="1"/>
    <col min="3" max="3" width="14.42578125" customWidth="1"/>
    <col min="4" max="11" width="12.7109375" customWidth="1"/>
    <col min="12" max="12" width="32.28515625" customWidth="1"/>
    <col min="13" max="13" width="14" customWidth="1"/>
    <col min="14" max="14" width="14.28515625" customWidth="1"/>
    <col min="15" max="15" width="9.42578125" customWidth="1"/>
    <col min="18" max="18" width="11.28515625" customWidth="1"/>
  </cols>
  <sheetData>
    <row r="1" spans="1:19">
      <c r="A1" s="163" t="s">
        <v>222</v>
      </c>
    </row>
    <row r="2" spans="1:19">
      <c r="A2" s="187" t="s">
        <v>223</v>
      </c>
      <c r="B2" s="195"/>
    </row>
    <row r="3" spans="1:19">
      <c r="A3" s="187" t="s">
        <v>224</v>
      </c>
      <c r="B3" s="203"/>
    </row>
    <row r="4" spans="1:19">
      <c r="A4" s="187" t="s">
        <v>225</v>
      </c>
      <c r="B4" s="181"/>
      <c r="C4" t="s">
        <v>84</v>
      </c>
    </row>
    <row r="5" spans="1:19">
      <c r="A5" t="s">
        <v>245</v>
      </c>
    </row>
    <row r="7" spans="1:19">
      <c r="A7" s="163" t="s">
        <v>173</v>
      </c>
      <c r="R7" s="163" t="s">
        <v>195</v>
      </c>
      <c r="S7" s="163" t="s">
        <v>194</v>
      </c>
    </row>
    <row r="8" spans="1:19">
      <c r="A8" s="187" t="s">
        <v>213</v>
      </c>
      <c r="B8" s="183">
        <v>0</v>
      </c>
      <c r="C8" s="196"/>
      <c r="D8" s="196"/>
      <c r="E8" s="196"/>
      <c r="R8" t="s">
        <v>196</v>
      </c>
      <c r="S8" t="s">
        <v>214</v>
      </c>
    </row>
    <row r="9" spans="1:19">
      <c r="A9" s="163"/>
      <c r="B9" s="722" t="s">
        <v>172</v>
      </c>
      <c r="C9" s="722"/>
      <c r="D9" s="722"/>
      <c r="E9" s="722"/>
      <c r="F9" s="722"/>
      <c r="G9" s="536"/>
      <c r="H9" s="536"/>
      <c r="I9" s="536"/>
      <c r="J9" s="536"/>
      <c r="K9" s="536"/>
    </row>
    <row r="10" spans="1:19">
      <c r="A10" t="s">
        <v>208</v>
      </c>
      <c r="B10">
        <v>1</v>
      </c>
      <c r="C10">
        <v>2</v>
      </c>
      <c r="D10">
        <v>3</v>
      </c>
      <c r="E10">
        <v>4</v>
      </c>
      <c r="F10">
        <v>5</v>
      </c>
      <c r="G10">
        <v>6</v>
      </c>
      <c r="H10">
        <v>7</v>
      </c>
      <c r="I10">
        <v>8</v>
      </c>
      <c r="J10">
        <v>9</v>
      </c>
      <c r="K10">
        <v>10</v>
      </c>
    </row>
    <row r="11" spans="1:19">
      <c r="A11" s="172" t="s">
        <v>176</v>
      </c>
      <c r="B11" s="181"/>
      <c r="C11" s="164">
        <v>0.06</v>
      </c>
      <c r="D11" s="164">
        <v>0.06</v>
      </c>
      <c r="E11" s="164">
        <v>0.06</v>
      </c>
      <c r="F11" s="164">
        <v>0.06</v>
      </c>
      <c r="G11" s="164">
        <v>0.06</v>
      </c>
      <c r="H11" s="164">
        <v>0.06</v>
      </c>
      <c r="I11" s="164">
        <v>0.06</v>
      </c>
      <c r="J11" s="164">
        <v>0.06</v>
      </c>
      <c r="K11" s="164">
        <v>0.06</v>
      </c>
      <c r="R11" t="s">
        <v>196</v>
      </c>
      <c r="S11" t="s">
        <v>207</v>
      </c>
    </row>
    <row r="12" spans="1:19">
      <c r="A12" s="172" t="s">
        <v>175</v>
      </c>
      <c r="B12" s="181"/>
      <c r="C12" s="182">
        <v>10</v>
      </c>
      <c r="D12" s="182">
        <v>10</v>
      </c>
      <c r="E12" s="182">
        <v>10</v>
      </c>
      <c r="F12" s="182">
        <v>10</v>
      </c>
      <c r="G12" s="182">
        <v>10</v>
      </c>
      <c r="H12" s="182">
        <v>10</v>
      </c>
      <c r="I12" s="182">
        <v>10</v>
      </c>
      <c r="J12" s="182">
        <v>10</v>
      </c>
      <c r="K12" s="182">
        <v>10</v>
      </c>
      <c r="L12" t="s">
        <v>9</v>
      </c>
      <c r="R12" t="s">
        <v>196</v>
      </c>
      <c r="S12" t="s">
        <v>207</v>
      </c>
    </row>
    <row r="13" spans="1:19">
      <c r="A13" s="184" t="s">
        <v>186</v>
      </c>
      <c r="B13" s="181"/>
      <c r="C13" s="182">
        <v>3</v>
      </c>
      <c r="D13" s="182">
        <v>2</v>
      </c>
      <c r="E13" s="182">
        <v>1</v>
      </c>
      <c r="F13" s="182">
        <v>1</v>
      </c>
      <c r="G13" s="182">
        <v>1</v>
      </c>
      <c r="H13" s="182">
        <v>1</v>
      </c>
      <c r="I13" s="182">
        <v>1</v>
      </c>
      <c r="J13" s="182">
        <v>1</v>
      </c>
      <c r="K13" s="182">
        <v>1</v>
      </c>
      <c r="L13" t="s">
        <v>53</v>
      </c>
      <c r="R13" t="s">
        <v>196</v>
      </c>
      <c r="S13" t="s">
        <v>207</v>
      </c>
    </row>
    <row r="17" spans="1:22">
      <c r="A17" s="163" t="s">
        <v>169</v>
      </c>
    </row>
    <row r="18" spans="1:22">
      <c r="B18" s="179"/>
      <c r="N18" s="179">
        <f>+M20-M22</f>
        <v>22493959</v>
      </c>
    </row>
    <row r="19" spans="1:22">
      <c r="B19" s="722" t="s">
        <v>172</v>
      </c>
      <c r="C19" s="722"/>
      <c r="D19" s="722"/>
      <c r="E19" s="722"/>
      <c r="F19" s="722"/>
      <c r="G19" s="536"/>
      <c r="H19" s="536"/>
      <c r="I19" s="536"/>
      <c r="J19" s="536"/>
      <c r="K19" s="536"/>
      <c r="R19" s="163" t="s">
        <v>195</v>
      </c>
      <c r="S19" s="163" t="s">
        <v>194</v>
      </c>
    </row>
    <row r="20" spans="1:22">
      <c r="A20" t="s">
        <v>193</v>
      </c>
      <c r="B20">
        <v>1</v>
      </c>
      <c r="C20">
        <v>2</v>
      </c>
      <c r="D20">
        <v>3</v>
      </c>
      <c r="E20">
        <v>4</v>
      </c>
      <c r="F20">
        <v>5</v>
      </c>
      <c r="G20">
        <v>6</v>
      </c>
      <c r="H20">
        <v>7</v>
      </c>
      <c r="I20">
        <v>8</v>
      </c>
      <c r="J20">
        <v>9</v>
      </c>
      <c r="K20">
        <v>10</v>
      </c>
      <c r="M20" s="197">
        <f>ROUND(+'FTTP Estimate'!E60,0)</f>
        <v>29346108</v>
      </c>
    </row>
    <row r="21" spans="1:22">
      <c r="A21" s="172" t="s">
        <v>170</v>
      </c>
      <c r="B21" s="188">
        <f>ROUND((1-$M$23)*('Capital Additions'!B37),0)</f>
        <v>6209417</v>
      </c>
      <c r="C21" s="188">
        <f>ROUND(IF(ROUND((1-$M$23)*('Capital Additions'!C37),-2)+B21&gt;M21,M21-B21,ROUND((1-$M$23)*'Capital Additions'!C37,-2)),0)</f>
        <v>16284542</v>
      </c>
      <c r="D21" s="188">
        <f>ROUND(IF(ROUND((1-$M$23)*('Capital Additions'!D37),-2)+C21+B21&gt;M21,M21-C21-B21,ROUND((1-$M$23)*'Capital Additions'!D37,-2)),-2)</f>
        <v>0</v>
      </c>
      <c r="E21" s="181"/>
      <c r="F21" s="181"/>
      <c r="G21" s="181"/>
      <c r="H21" s="181"/>
      <c r="I21" s="181"/>
      <c r="J21" s="181"/>
      <c r="K21" s="181"/>
      <c r="L21" s="196"/>
      <c r="M21" s="198">
        <f>+M20-M22</f>
        <v>22493959</v>
      </c>
      <c r="N21" s="179">
        <f>SUM(B21:D21)-M21</f>
        <v>0</v>
      </c>
      <c r="O21" t="s">
        <v>428</v>
      </c>
      <c r="R21" t="s">
        <v>196</v>
      </c>
      <c r="S21" t="s">
        <v>197</v>
      </c>
    </row>
    <row r="22" spans="1:22">
      <c r="A22" s="172" t="s">
        <v>227</v>
      </c>
      <c r="B22" s="188">
        <f>ROUND(B23*$M$22,0)</f>
        <v>4522418</v>
      </c>
      <c r="C22" s="188">
        <f>ROUND(C23*$M$22,0)</f>
        <v>2329731</v>
      </c>
      <c r="D22" s="188">
        <f t="shared" ref="D22" si="0">ROUND(D23*$M$22,-2)</f>
        <v>0</v>
      </c>
      <c r="E22" s="181"/>
      <c r="F22" s="181"/>
      <c r="G22" s="181"/>
      <c r="H22" s="181"/>
      <c r="I22" s="181"/>
      <c r="J22" s="181"/>
      <c r="K22" s="181"/>
      <c r="L22" s="198"/>
      <c r="M22" s="197">
        <v>6852149</v>
      </c>
      <c r="N22" s="179">
        <f>SUM(B22:D22)-M22</f>
        <v>0</v>
      </c>
      <c r="O22" t="s">
        <v>428</v>
      </c>
      <c r="R22" t="s">
        <v>196</v>
      </c>
      <c r="S22" t="s">
        <v>197</v>
      </c>
    </row>
    <row r="23" spans="1:22">
      <c r="A23" s="200"/>
      <c r="B23" s="205">
        <v>0.66</v>
      </c>
      <c r="C23" s="205">
        <v>0.34</v>
      </c>
      <c r="D23" s="207">
        <f>1-C23-B23</f>
        <v>0</v>
      </c>
      <c r="E23" s="181"/>
      <c r="F23" s="181"/>
      <c r="G23" s="181"/>
      <c r="H23" s="181"/>
      <c r="I23" s="181"/>
      <c r="J23" s="181"/>
      <c r="K23" s="181"/>
      <c r="L23" s="196"/>
      <c r="M23" s="207">
        <f>+M22/M20</f>
        <v>0.23349430186790016</v>
      </c>
    </row>
    <row r="24" spans="1:22">
      <c r="B24" s="200" t="s">
        <v>237</v>
      </c>
      <c r="C24" s="212">
        <v>40756</v>
      </c>
      <c r="D24" s="181"/>
      <c r="E24" s="181"/>
      <c r="F24" s="181"/>
      <c r="G24" s="181"/>
      <c r="H24" s="181"/>
      <c r="I24" s="181"/>
      <c r="J24" s="181"/>
      <c r="K24" s="181"/>
      <c r="L24" s="196"/>
      <c r="M24" s="198">
        <f>+'FTTP Estimate'!E57</f>
        <v>1004128</v>
      </c>
      <c r="N24" t="s">
        <v>429</v>
      </c>
      <c r="O24" s="168">
        <f>ROUND(M24/M21,4)</f>
        <v>4.4600000000000001E-2</v>
      </c>
    </row>
    <row r="25" spans="1:22">
      <c r="A25" s="200" t="s">
        <v>95</v>
      </c>
      <c r="B25" s="183">
        <v>0</v>
      </c>
      <c r="C25" s="183">
        <v>0</v>
      </c>
      <c r="D25" s="183">
        <v>0</v>
      </c>
      <c r="E25" s="183">
        <v>0</v>
      </c>
      <c r="F25" s="183">
        <v>0</v>
      </c>
      <c r="G25" s="183">
        <v>0</v>
      </c>
      <c r="H25" s="183">
        <v>0</v>
      </c>
      <c r="I25" s="183">
        <v>0</v>
      </c>
      <c r="J25" s="183">
        <v>0</v>
      </c>
      <c r="K25" s="183">
        <v>0</v>
      </c>
      <c r="L25" s="196"/>
    </row>
    <row r="26" spans="1:22">
      <c r="A26" s="172" t="s">
        <v>174</v>
      </c>
      <c r="B26" s="181"/>
      <c r="C26" s="181"/>
      <c r="D26" s="604">
        <f>SUM('Key Assumptions'!D115)</f>
        <v>0</v>
      </c>
      <c r="E26" s="604">
        <f>SUM('Key Assumptions'!E115)</f>
        <v>0</v>
      </c>
      <c r="F26" s="604">
        <f>SUM('Key Assumptions'!F115)</f>
        <v>0</v>
      </c>
      <c r="G26" s="604">
        <f>SUM('Key Assumptions'!G115)</f>
        <v>0</v>
      </c>
      <c r="H26" s="604">
        <f>SUM('Key Assumptions'!H115)</f>
        <v>0</v>
      </c>
      <c r="I26" s="604">
        <f>SUM('Key Assumptions'!I115)</f>
        <v>0</v>
      </c>
      <c r="J26" s="604">
        <f>SUM('Key Assumptions'!J115)</f>
        <v>0</v>
      </c>
      <c r="K26" s="604">
        <f>SUM('Key Assumptions'!K115)</f>
        <v>0</v>
      </c>
      <c r="L26" s="196"/>
      <c r="R26" t="s">
        <v>196</v>
      </c>
      <c r="S26" t="s">
        <v>198</v>
      </c>
    </row>
    <row r="28" spans="1:22">
      <c r="A28" t="s">
        <v>41</v>
      </c>
    </row>
    <row r="29" spans="1:22">
      <c r="A29" s="186" t="str">
        <f>+'Income Statement'!B10</f>
        <v>Network Services Revenues:</v>
      </c>
    </row>
    <row r="30" spans="1:22">
      <c r="A30" s="172" t="str">
        <f>+'Income Statement'!B11</f>
        <v xml:space="preserve">    Local Voice Service</v>
      </c>
      <c r="B30" s="183">
        <v>0</v>
      </c>
      <c r="C30" s="183">
        <v>0</v>
      </c>
      <c r="D30" s="183">
        <v>0</v>
      </c>
      <c r="E30" s="183">
        <v>0</v>
      </c>
      <c r="F30" s="183">
        <v>0</v>
      </c>
      <c r="G30" s="183">
        <v>0</v>
      </c>
      <c r="H30" s="183">
        <v>0</v>
      </c>
      <c r="I30" s="183">
        <v>0</v>
      </c>
      <c r="J30" s="183">
        <v>0</v>
      </c>
      <c r="K30" s="183">
        <v>0</v>
      </c>
      <c r="L30" t="s">
        <v>199</v>
      </c>
      <c r="M30" s="196"/>
      <c r="R30" t="s">
        <v>196</v>
      </c>
      <c r="S30" t="s">
        <v>197</v>
      </c>
    </row>
    <row r="31" spans="1:22">
      <c r="A31" s="172" t="str">
        <f>+'Income Statement'!B12</f>
        <v xml:space="preserve">    Broadband Data</v>
      </c>
      <c r="B31" s="188">
        <f>+Revenue!B80</f>
        <v>179300</v>
      </c>
      <c r="C31" s="188">
        <f>+Revenue!C80</f>
        <v>819700</v>
      </c>
      <c r="D31" s="188">
        <f>+Revenue!D80</f>
        <v>1169400</v>
      </c>
      <c r="E31" s="188">
        <f>+Revenue!E80</f>
        <v>1309600</v>
      </c>
      <c r="F31" s="188">
        <f>+Revenue!F80</f>
        <v>1362000</v>
      </c>
      <c r="G31" s="188">
        <f>+Revenue!G80</f>
        <v>1051000</v>
      </c>
      <c r="H31" s="188">
        <f>+Revenue!H80</f>
        <v>1059800</v>
      </c>
      <c r="I31" s="188">
        <f>+Revenue!I80</f>
        <v>1068500</v>
      </c>
      <c r="J31" s="188">
        <f>+Revenue!J80</f>
        <v>1077300</v>
      </c>
      <c r="K31" s="188">
        <f>+Revenue!K80</f>
        <v>1086000</v>
      </c>
      <c r="R31" t="s">
        <v>200</v>
      </c>
      <c r="S31" t="s">
        <v>197</v>
      </c>
      <c r="T31" s="196"/>
      <c r="U31" s="196"/>
      <c r="V31" s="196"/>
    </row>
    <row r="32" spans="1:22" ht="17.25">
      <c r="A32" s="172" t="str">
        <f>+'Income Statement'!B13</f>
        <v xml:space="preserve">    Video Services</v>
      </c>
      <c r="B32" s="192">
        <v>0</v>
      </c>
      <c r="C32" s="192">
        <v>0</v>
      </c>
      <c r="D32" s="192">
        <v>0</v>
      </c>
      <c r="E32" s="192">
        <v>0</v>
      </c>
      <c r="F32" s="192">
        <v>0</v>
      </c>
      <c r="G32" s="192">
        <v>0</v>
      </c>
      <c r="H32" s="192">
        <v>0</v>
      </c>
      <c r="I32" s="192">
        <v>0</v>
      </c>
      <c r="J32" s="192">
        <v>0</v>
      </c>
      <c r="K32" s="192">
        <v>0</v>
      </c>
      <c r="L32" t="s">
        <v>199</v>
      </c>
      <c r="R32" t="s">
        <v>196</v>
      </c>
      <c r="S32" t="s">
        <v>197</v>
      </c>
    </row>
    <row r="33" spans="1:19">
      <c r="A33" s="172" t="s">
        <v>10</v>
      </c>
      <c r="B33" s="188">
        <f>SUM(B30:B32)</f>
        <v>179300</v>
      </c>
      <c r="C33" s="188">
        <f t="shared" ref="C33:K33" si="1">SUM(C30:C32)</f>
        <v>819700</v>
      </c>
      <c r="D33" s="188">
        <f t="shared" si="1"/>
        <v>1169400</v>
      </c>
      <c r="E33" s="188">
        <f t="shared" si="1"/>
        <v>1309600</v>
      </c>
      <c r="F33" s="188">
        <f t="shared" si="1"/>
        <v>1362000</v>
      </c>
      <c r="G33" s="188">
        <f t="shared" si="1"/>
        <v>1051000</v>
      </c>
      <c r="H33" s="188">
        <f t="shared" si="1"/>
        <v>1059800</v>
      </c>
      <c r="I33" s="188">
        <f t="shared" si="1"/>
        <v>1068500</v>
      </c>
      <c r="J33" s="188">
        <f t="shared" si="1"/>
        <v>1077300</v>
      </c>
      <c r="K33" s="188">
        <f t="shared" si="1"/>
        <v>1086000</v>
      </c>
    </row>
    <row r="34" spans="1:19">
      <c r="A34" s="186" t="str">
        <f>+'Income Statement'!B14</f>
        <v>Network Access Service Revenues</v>
      </c>
    </row>
    <row r="35" spans="1:19">
      <c r="A35" s="172" t="s">
        <v>201</v>
      </c>
      <c r="B35" s="183">
        <v>0</v>
      </c>
      <c r="C35" s="183">
        <v>146400</v>
      </c>
      <c r="D35" s="183">
        <v>146400</v>
      </c>
      <c r="E35" s="183">
        <v>146400</v>
      </c>
      <c r="F35" s="183">
        <v>146400</v>
      </c>
      <c r="G35" s="183">
        <v>146400</v>
      </c>
      <c r="H35" s="183">
        <v>146400</v>
      </c>
      <c r="I35" s="183">
        <v>146400</v>
      </c>
      <c r="J35" s="183">
        <v>146400</v>
      </c>
      <c r="K35" s="183">
        <v>146400</v>
      </c>
      <c r="S35" t="s">
        <v>202</v>
      </c>
    </row>
    <row r="36" spans="1:19">
      <c r="B36" s="182">
        <v>0</v>
      </c>
      <c r="C36" s="182">
        <v>0</v>
      </c>
      <c r="D36" s="182">
        <v>0</v>
      </c>
      <c r="E36" s="182">
        <v>0</v>
      </c>
      <c r="F36" s="182">
        <v>0</v>
      </c>
      <c r="G36" s="182"/>
      <c r="H36" s="182"/>
      <c r="I36" s="182"/>
      <c r="J36" s="182"/>
      <c r="K36" s="182"/>
      <c r="S36" t="s">
        <v>202</v>
      </c>
    </row>
    <row r="37" spans="1:19">
      <c r="B37" s="182">
        <v>0</v>
      </c>
      <c r="C37" s="182">
        <v>0</v>
      </c>
      <c r="D37" s="182">
        <v>0</v>
      </c>
      <c r="E37" s="182">
        <v>0</v>
      </c>
      <c r="F37" s="182">
        <v>0</v>
      </c>
      <c r="G37" s="182"/>
      <c r="H37" s="182"/>
      <c r="I37" s="182"/>
      <c r="J37" s="182"/>
      <c r="K37" s="182"/>
      <c r="S37" t="s">
        <v>202</v>
      </c>
    </row>
    <row r="38" spans="1:19" ht="17.25">
      <c r="B38" s="193">
        <v>0</v>
      </c>
      <c r="C38" s="193">
        <v>0</v>
      </c>
      <c r="D38" s="193">
        <v>0</v>
      </c>
      <c r="E38" s="193">
        <v>0</v>
      </c>
      <c r="F38" s="193">
        <v>0</v>
      </c>
      <c r="G38" s="193">
        <v>0</v>
      </c>
      <c r="H38" s="193">
        <v>0</v>
      </c>
      <c r="I38" s="193">
        <v>0</v>
      </c>
      <c r="J38" s="193">
        <v>0</v>
      </c>
      <c r="K38" s="193">
        <v>0</v>
      </c>
      <c r="S38" t="s">
        <v>202</v>
      </c>
    </row>
    <row r="39" spans="1:19">
      <c r="A39" s="172" t="s">
        <v>10</v>
      </c>
      <c r="B39" s="179">
        <f>SUM(B35:B38)</f>
        <v>0</v>
      </c>
      <c r="C39" s="179">
        <f t="shared" ref="C39:K39" si="2">SUM(C35:C38)</f>
        <v>146400</v>
      </c>
      <c r="D39" s="179">
        <f t="shared" si="2"/>
        <v>146400</v>
      </c>
      <c r="E39" s="179">
        <f t="shared" si="2"/>
        <v>146400</v>
      </c>
      <c r="F39" s="179">
        <f t="shared" si="2"/>
        <v>146400</v>
      </c>
      <c r="G39" s="179">
        <f t="shared" si="2"/>
        <v>146400</v>
      </c>
      <c r="H39" s="179">
        <f t="shared" si="2"/>
        <v>146400</v>
      </c>
      <c r="I39" s="179">
        <f t="shared" si="2"/>
        <v>146400</v>
      </c>
      <c r="J39" s="179">
        <f t="shared" si="2"/>
        <v>146400</v>
      </c>
      <c r="K39" s="179">
        <f t="shared" si="2"/>
        <v>146400</v>
      </c>
      <c r="R39" t="s">
        <v>196</v>
      </c>
      <c r="S39" t="s">
        <v>197</v>
      </c>
    </row>
    <row r="41" spans="1:19">
      <c r="A41" s="186" t="str">
        <f>+'Income Statement'!B15</f>
        <v>Universal Service Fund</v>
      </c>
      <c r="B41" s="183">
        <v>0</v>
      </c>
      <c r="C41" s="183">
        <v>0</v>
      </c>
      <c r="D41" s="183">
        <v>0</v>
      </c>
      <c r="E41" s="183">
        <v>0</v>
      </c>
      <c r="F41" s="183">
        <v>0</v>
      </c>
      <c r="G41" s="183">
        <v>0</v>
      </c>
      <c r="H41" s="183">
        <v>0</v>
      </c>
      <c r="I41" s="183">
        <v>0</v>
      </c>
      <c r="J41" s="183">
        <v>0</v>
      </c>
      <c r="K41" s="183">
        <v>0</v>
      </c>
      <c r="L41" t="s">
        <v>199</v>
      </c>
      <c r="R41" t="s">
        <v>196</v>
      </c>
      <c r="S41" t="s">
        <v>197</v>
      </c>
    </row>
    <row r="42" spans="1:19">
      <c r="A42" s="186" t="str">
        <f>+'Income Statement'!B16</f>
        <v>Toll Service/Long Distance Voice</v>
      </c>
      <c r="B42" s="183">
        <v>0</v>
      </c>
      <c r="C42" s="183">
        <v>0</v>
      </c>
      <c r="D42" s="183">
        <v>0</v>
      </c>
      <c r="E42" s="183">
        <v>0</v>
      </c>
      <c r="F42" s="183">
        <v>0</v>
      </c>
      <c r="G42" s="183">
        <v>0</v>
      </c>
      <c r="H42" s="183">
        <v>0</v>
      </c>
      <c r="I42" s="183">
        <v>0</v>
      </c>
      <c r="J42" s="183">
        <v>0</v>
      </c>
      <c r="K42" s="183">
        <v>0</v>
      </c>
      <c r="L42" t="s">
        <v>199</v>
      </c>
      <c r="R42" t="s">
        <v>196</v>
      </c>
      <c r="S42" t="s">
        <v>197</v>
      </c>
    </row>
    <row r="43" spans="1:19">
      <c r="A43" s="720" t="str">
        <f>+'Income Statement'!B17</f>
        <v>Installation Revenues</v>
      </c>
      <c r="B43" s="198">
        <f>IF(B$47="yes",ROUND(Revenue!B124*'Sources and Uses'!$M43,-2),0)</f>
        <v>0</v>
      </c>
      <c r="C43" s="198">
        <f>IF(C$47="yes",ROUND(Revenue!C124*'Sources and Uses'!$M43,-2),0)</f>
        <v>0</v>
      </c>
      <c r="D43" s="198">
        <f>IF(D$47="yes",ROUND(Revenue!D124*'Sources and Uses'!$M43,-2),0)</f>
        <v>0</v>
      </c>
      <c r="E43" s="198">
        <f>IF(E$47="yes",ROUND(Revenue!E124*'Sources and Uses'!$M43,-2),0)</f>
        <v>0</v>
      </c>
      <c r="F43" s="198">
        <f>IF(F$47="yes",ROUND(Revenue!F124*'Sources and Uses'!$M43,-2),0)</f>
        <v>0</v>
      </c>
      <c r="G43" s="198">
        <f>IF(G$47="yes",ROUND(Revenue!G124*'Sources and Uses'!$M43,-2),0)</f>
        <v>0</v>
      </c>
      <c r="H43" s="198">
        <f>IF(H$47="yes",ROUND(Revenue!H124*'Sources and Uses'!$M43,-2),0)</f>
        <v>0</v>
      </c>
      <c r="I43" s="198">
        <f>IF(I$47="yes",ROUND(Revenue!I124*'Sources and Uses'!$M43,-2),0)</f>
        <v>0</v>
      </c>
      <c r="J43" s="198">
        <f>IF(J$47="yes",ROUND(Revenue!J124*'Sources and Uses'!$M43,-2),0)</f>
        <v>0</v>
      </c>
      <c r="K43" s="198">
        <f>IF(K$47="yes",ROUND(Revenue!K124*'Sources and Uses'!$M43,-2),0)</f>
        <v>0</v>
      </c>
      <c r="L43" s="172" t="s">
        <v>229</v>
      </c>
      <c r="M43" s="592">
        <f>SUM('Key Assumptions'!C30)</f>
        <v>0</v>
      </c>
      <c r="N43" s="196"/>
      <c r="R43" t="s">
        <v>196</v>
      </c>
      <c r="S43" t="s">
        <v>197</v>
      </c>
    </row>
    <row r="44" spans="1:19">
      <c r="A44" s="721"/>
      <c r="B44" s="198">
        <f>IF(B$47="yes",ROUND(Revenue!B125*'Sources and Uses'!$M44,-2),0)</f>
        <v>0</v>
      </c>
      <c r="C44" s="198">
        <f>IF(C$47="yes",ROUND(Revenue!C125*'Sources and Uses'!$M44,-2),0)</f>
        <v>0</v>
      </c>
      <c r="D44" s="198">
        <f>IF(D$47="yes",ROUND(Revenue!D125*'Sources and Uses'!$M44,-2),0)</f>
        <v>0</v>
      </c>
      <c r="E44" s="198">
        <f>IF(E$47="yes",ROUND(Revenue!E125*'Sources and Uses'!$M44,-2),0)</f>
        <v>0</v>
      </c>
      <c r="F44" s="198">
        <f>IF(F$47="yes",ROUND(Revenue!F125*'Sources and Uses'!$M44,-2),0)</f>
        <v>0</v>
      </c>
      <c r="G44" s="198">
        <f>IF(G$47="yes",ROUND(Revenue!G125*'Sources and Uses'!$M44,-2),0)</f>
        <v>0</v>
      </c>
      <c r="H44" s="198">
        <f>IF(H$47="yes",ROUND(Revenue!H125*'Sources and Uses'!$M44,-2),0)</f>
        <v>0</v>
      </c>
      <c r="I44" s="198">
        <f>IF(I$47="yes",ROUND(Revenue!I125*'Sources and Uses'!$M44,-2),0)</f>
        <v>0</v>
      </c>
      <c r="J44" s="198">
        <f>IF(J$47="yes",ROUND(Revenue!J125*'Sources and Uses'!$M44,-2),0)</f>
        <v>0</v>
      </c>
      <c r="K44" s="198">
        <f>IF(K$47="yes",ROUND(Revenue!K125*'Sources and Uses'!$M44,-2),0)</f>
        <v>0</v>
      </c>
      <c r="L44" s="172" t="s">
        <v>230</v>
      </c>
      <c r="M44" s="592">
        <f>SUM('Key Assumptions'!C69)</f>
        <v>0</v>
      </c>
      <c r="N44" s="196"/>
    </row>
    <row r="45" spans="1:19">
      <c r="A45" s="721"/>
      <c r="B45" s="198">
        <f>IF(B$47="yes",ROUND(Revenue!B126*'Sources and Uses'!$M45,-2),0)</f>
        <v>0</v>
      </c>
      <c r="C45" s="198">
        <f>IF(C$47="yes",ROUND(Revenue!C126*'Sources and Uses'!$M45,-2),0)</f>
        <v>0</v>
      </c>
      <c r="D45" s="198">
        <f>IF(D$47="yes",ROUND(Revenue!D126*'Sources and Uses'!$M45,-2),0)</f>
        <v>0</v>
      </c>
      <c r="E45" s="198">
        <f>IF(E$47="yes",ROUND(Revenue!E126*'Sources and Uses'!$M45,-2),0)</f>
        <v>0</v>
      </c>
      <c r="F45" s="198">
        <f>IF(F$47="yes",ROUND(Revenue!F126*'Sources and Uses'!$M45,-2),0)</f>
        <v>0</v>
      </c>
      <c r="G45" s="198">
        <f>IF(G$47="yes",ROUND(Revenue!G126*'Sources and Uses'!$M45,-2),0)</f>
        <v>0</v>
      </c>
      <c r="H45" s="198">
        <f>IF(H$47="yes",ROUND(Revenue!H126*'Sources and Uses'!$M45,-2),0)</f>
        <v>0</v>
      </c>
      <c r="I45" s="198">
        <f>IF(I$47="yes",ROUND(Revenue!I126*'Sources and Uses'!$M45,-2),0)</f>
        <v>0</v>
      </c>
      <c r="J45" s="198">
        <f>IF(J$47="yes",ROUND(Revenue!J126*'Sources and Uses'!$M45,-2),0)</f>
        <v>0</v>
      </c>
      <c r="K45" s="198">
        <f>IF(K$47="yes",ROUND(Revenue!K126*'Sources and Uses'!$M45,-2),0)</f>
        <v>0</v>
      </c>
      <c r="L45" s="172" t="s">
        <v>366</v>
      </c>
      <c r="M45" s="197">
        <v>0</v>
      </c>
      <c r="N45" s="196"/>
    </row>
    <row r="46" spans="1:19">
      <c r="A46" s="721"/>
      <c r="B46" s="198">
        <f>IF(B$48="yes",ROUND(Revenue!B127*'Sources and Uses'!$M46,-2),0)</f>
        <v>4000</v>
      </c>
      <c r="C46" s="198">
        <f>IF(C$48="yes",ROUND(Revenue!C127*'Sources and Uses'!$M46,-2),0)</f>
        <v>4000</v>
      </c>
      <c r="D46" s="198">
        <f>IF(D$48="yes",ROUND(Revenue!D127*'Sources and Uses'!$M46,-2),0)</f>
        <v>8000</v>
      </c>
      <c r="E46" s="198">
        <f>IF(E$48="yes",ROUND(Revenue!E127*'Sources and Uses'!$M46,-2),0)</f>
        <v>8000</v>
      </c>
      <c r="F46" s="198">
        <f>IF(F$48="yes",ROUND(Revenue!F127*'Sources and Uses'!$M46,-2),0)</f>
        <v>0</v>
      </c>
      <c r="G46" s="198">
        <f>IF(G$48="yes",ROUND(Revenue!G127*'Sources and Uses'!$M46,-2),0)</f>
        <v>2000</v>
      </c>
      <c r="H46" s="198">
        <f>IF(H$48="yes",ROUND(Revenue!H127*'Sources and Uses'!$M46,-2),0)</f>
        <v>2000</v>
      </c>
      <c r="I46" s="198">
        <f>IF(I$48="yes",ROUND(Revenue!I127*'Sources and Uses'!$M46,-2),0)</f>
        <v>2000</v>
      </c>
      <c r="J46" s="198">
        <f>IF(J$48="yes",ROUND(Revenue!J127*'Sources and Uses'!$M46,-2),0)</f>
        <v>2000</v>
      </c>
      <c r="K46" s="198">
        <f>IF(K$48="yes",ROUND(Revenue!K127*'Sources and Uses'!$M46,-2),0)</f>
        <v>2000</v>
      </c>
      <c r="L46" s="172" t="s">
        <v>367</v>
      </c>
      <c r="M46" s="197">
        <f>SUM('Key Assumptions'!C102)</f>
        <v>500</v>
      </c>
      <c r="N46" s="196"/>
    </row>
    <row r="47" spans="1:19">
      <c r="A47" s="380" t="s">
        <v>58</v>
      </c>
      <c r="B47" s="197" t="s">
        <v>425</v>
      </c>
      <c r="C47" s="197" t="s">
        <v>425</v>
      </c>
      <c r="D47" s="197" t="s">
        <v>342</v>
      </c>
      <c r="E47" s="197" t="s">
        <v>426</v>
      </c>
      <c r="F47" s="197" t="s">
        <v>426</v>
      </c>
      <c r="G47" s="197" t="s">
        <v>426</v>
      </c>
      <c r="H47" s="197" t="s">
        <v>426</v>
      </c>
      <c r="I47" s="197" t="s">
        <v>426</v>
      </c>
      <c r="J47" s="197" t="s">
        <v>426</v>
      </c>
      <c r="K47" s="197" t="s">
        <v>426</v>
      </c>
      <c r="L47" s="172"/>
      <c r="M47" s="196"/>
      <c r="N47" s="196"/>
    </row>
    <row r="48" spans="1:19">
      <c r="A48" s="380" t="s">
        <v>59</v>
      </c>
      <c r="B48" s="197" t="s">
        <v>342</v>
      </c>
      <c r="C48" s="197" t="s">
        <v>342</v>
      </c>
      <c r="D48" s="197" t="s">
        <v>342</v>
      </c>
      <c r="E48" s="197" t="s">
        <v>342</v>
      </c>
      <c r="F48" s="197" t="s">
        <v>342</v>
      </c>
      <c r="G48" s="197" t="s">
        <v>342</v>
      </c>
      <c r="H48" s="197" t="s">
        <v>342</v>
      </c>
      <c r="I48" s="197" t="s">
        <v>342</v>
      </c>
      <c r="J48" s="197" t="s">
        <v>342</v>
      </c>
      <c r="K48" s="197" t="s">
        <v>342</v>
      </c>
      <c r="L48" s="172"/>
      <c r="M48" s="196"/>
      <c r="N48" s="196"/>
    </row>
    <row r="49" spans="1:19">
      <c r="A49" s="186" t="str">
        <f>+'Income Statement'!B18</f>
        <v>Other Operating Revenues</v>
      </c>
      <c r="B49" s="183">
        <v>0</v>
      </c>
      <c r="C49" s="183">
        <v>0</v>
      </c>
      <c r="D49" s="183">
        <v>0</v>
      </c>
      <c r="E49" s="183">
        <v>0</v>
      </c>
      <c r="F49" s="183">
        <v>0</v>
      </c>
      <c r="G49" s="183">
        <v>0</v>
      </c>
      <c r="H49" s="183">
        <v>0</v>
      </c>
      <c r="I49" s="183">
        <v>0</v>
      </c>
      <c r="J49" s="183">
        <v>0</v>
      </c>
      <c r="K49" s="183">
        <v>0</v>
      </c>
      <c r="R49" t="s">
        <v>196</v>
      </c>
      <c r="S49" t="s">
        <v>197</v>
      </c>
    </row>
    <row r="50" spans="1:19">
      <c r="A50" s="186" t="str">
        <f>+'Income Statement'!B19</f>
        <v>BTOP Grant</v>
      </c>
      <c r="B50" s="183">
        <v>0</v>
      </c>
      <c r="C50" s="183">
        <v>0</v>
      </c>
      <c r="D50" s="183">
        <v>0</v>
      </c>
      <c r="E50" s="183">
        <v>0</v>
      </c>
      <c r="F50" s="183">
        <v>0</v>
      </c>
      <c r="G50" s="183">
        <v>0</v>
      </c>
      <c r="H50" s="183">
        <v>0</v>
      </c>
      <c r="I50" s="183">
        <v>0</v>
      </c>
      <c r="J50" s="183">
        <v>0</v>
      </c>
      <c r="K50" s="183">
        <v>0</v>
      </c>
    </row>
    <row r="51" spans="1:19">
      <c r="A51" s="186" t="str">
        <f>+'Income Statement'!B20</f>
        <v>Matching Contributions</v>
      </c>
      <c r="B51" s="183">
        <v>0</v>
      </c>
      <c r="C51" s="183">
        <v>0</v>
      </c>
      <c r="D51" s="183">
        <v>0</v>
      </c>
      <c r="E51" s="183">
        <v>0</v>
      </c>
      <c r="F51" s="183">
        <v>0</v>
      </c>
      <c r="G51" s="183">
        <v>0</v>
      </c>
      <c r="H51" s="183">
        <v>0</v>
      </c>
      <c r="I51" s="183">
        <v>0</v>
      </c>
      <c r="J51" s="183">
        <v>0</v>
      </c>
      <c r="K51" s="183">
        <v>0</v>
      </c>
    </row>
    <row r="52" spans="1:19" ht="30">
      <c r="A52" s="186" t="str">
        <f>+'Income Statement'!B21</f>
        <v>Tax Revenue</v>
      </c>
      <c r="B52" s="183">
        <f>SUM(B137)</f>
        <v>10800</v>
      </c>
      <c r="C52" s="183">
        <f t="shared" ref="C52:K52" si="3">SUM(C137)</f>
        <v>58000</v>
      </c>
      <c r="D52" s="183">
        <f t="shared" si="3"/>
        <v>78900</v>
      </c>
      <c r="E52" s="183">
        <f t="shared" si="3"/>
        <v>87400</v>
      </c>
      <c r="F52" s="183">
        <f t="shared" si="3"/>
        <v>90500</v>
      </c>
      <c r="G52" s="183">
        <f t="shared" si="3"/>
        <v>71800</v>
      </c>
      <c r="H52" s="183">
        <f t="shared" si="3"/>
        <v>72400</v>
      </c>
      <c r="I52" s="183">
        <f t="shared" si="3"/>
        <v>72900</v>
      </c>
      <c r="J52" s="183">
        <f t="shared" si="3"/>
        <v>73400</v>
      </c>
      <c r="K52" s="183">
        <f t="shared" si="3"/>
        <v>73900</v>
      </c>
      <c r="L52" s="477" t="s">
        <v>502</v>
      </c>
      <c r="R52" t="s">
        <v>196</v>
      </c>
      <c r="S52" t="s">
        <v>197</v>
      </c>
    </row>
    <row r="53" spans="1:19">
      <c r="A53" s="186" t="str">
        <f>+'Income Statement'!B22</f>
        <v>Donation from UI (cash and in-kind)</v>
      </c>
    </row>
    <row r="54" spans="1:19">
      <c r="A54" s="172" t="s">
        <v>204</v>
      </c>
      <c r="B54" s="188">
        <f>ROUNDUP(C54*N54,-1)</f>
        <v>19800</v>
      </c>
      <c r="C54" s="183">
        <v>60000</v>
      </c>
      <c r="D54" s="188">
        <f t="shared" ref="D54:F54" si="4">+C54</f>
        <v>60000</v>
      </c>
      <c r="E54" s="188">
        <f t="shared" si="4"/>
        <v>60000</v>
      </c>
      <c r="F54" s="188">
        <f t="shared" si="4"/>
        <v>60000</v>
      </c>
      <c r="G54" s="188">
        <v>0</v>
      </c>
      <c r="H54" s="188">
        <v>0</v>
      </c>
      <c r="I54" s="188">
        <v>0</v>
      </c>
      <c r="J54" s="188">
        <v>0</v>
      </c>
      <c r="K54" s="188">
        <v>0</v>
      </c>
      <c r="L54" t="s">
        <v>68</v>
      </c>
      <c r="M54" s="173" t="s">
        <v>88</v>
      </c>
      <c r="N54" s="195">
        <v>0.33</v>
      </c>
      <c r="S54" t="s">
        <v>202</v>
      </c>
    </row>
    <row r="55" spans="1:19">
      <c r="A55" s="172" t="s">
        <v>205</v>
      </c>
      <c r="B55" s="194">
        <f>ROUNDUP(C55*N55,-1)</f>
        <v>13860</v>
      </c>
      <c r="C55" s="182">
        <f>3500*12</f>
        <v>42000</v>
      </c>
      <c r="D55" s="194">
        <f t="shared" ref="D55:F55" si="5">+C55</f>
        <v>42000</v>
      </c>
      <c r="E55" s="194">
        <f t="shared" si="5"/>
        <v>42000</v>
      </c>
      <c r="F55" s="194">
        <f t="shared" si="5"/>
        <v>42000</v>
      </c>
      <c r="G55" s="194">
        <v>0</v>
      </c>
      <c r="H55" s="194">
        <v>0</v>
      </c>
      <c r="I55" s="194">
        <v>0</v>
      </c>
      <c r="J55" s="194">
        <v>0</v>
      </c>
      <c r="K55" s="194">
        <v>0</v>
      </c>
      <c r="L55" t="s">
        <v>68</v>
      </c>
      <c r="M55" s="173" t="s">
        <v>88</v>
      </c>
      <c r="N55" s="195">
        <v>0.33</v>
      </c>
      <c r="S55" t="s">
        <v>202</v>
      </c>
    </row>
    <row r="56" spans="1:19" ht="17.25">
      <c r="A56" s="191" t="s">
        <v>206</v>
      </c>
      <c r="B56" s="193">
        <v>0</v>
      </c>
      <c r="C56" s="193">
        <v>0</v>
      </c>
      <c r="D56" s="193">
        <v>0</v>
      </c>
      <c r="E56" s="193">
        <v>0</v>
      </c>
      <c r="F56" s="193">
        <v>0</v>
      </c>
      <c r="G56" s="193">
        <v>0</v>
      </c>
      <c r="H56" s="193">
        <v>0</v>
      </c>
      <c r="I56" s="193">
        <v>0</v>
      </c>
      <c r="J56" s="193">
        <v>0</v>
      </c>
      <c r="K56" s="193">
        <v>0</v>
      </c>
      <c r="S56" t="s">
        <v>202</v>
      </c>
    </row>
    <row r="57" spans="1:19">
      <c r="A57" s="172" t="s">
        <v>10</v>
      </c>
      <c r="B57" s="179">
        <f>SUM(B54:B56)</f>
        <v>33660</v>
      </c>
      <c r="C57" s="179">
        <f t="shared" ref="C57:K57" si="6">SUM(C54:C56)</f>
        <v>102000</v>
      </c>
      <c r="D57" s="179">
        <f t="shared" si="6"/>
        <v>102000</v>
      </c>
      <c r="E57" s="179">
        <f t="shared" si="6"/>
        <v>102000</v>
      </c>
      <c r="F57" s="179">
        <f t="shared" si="6"/>
        <v>102000</v>
      </c>
      <c r="G57" s="179">
        <f t="shared" si="6"/>
        <v>0</v>
      </c>
      <c r="H57" s="179">
        <f t="shared" si="6"/>
        <v>0</v>
      </c>
      <c r="I57" s="179">
        <f t="shared" si="6"/>
        <v>0</v>
      </c>
      <c r="J57" s="179">
        <f t="shared" si="6"/>
        <v>0</v>
      </c>
      <c r="K57" s="179">
        <f t="shared" si="6"/>
        <v>0</v>
      </c>
      <c r="R57" t="s">
        <v>196</v>
      </c>
      <c r="S57" t="s">
        <v>197</v>
      </c>
    </row>
    <row r="58" spans="1:19">
      <c r="A58" s="186" t="str">
        <f>+'Income Statement'!B23</f>
        <v>Donation from UI (salary)</v>
      </c>
      <c r="B58" s="188">
        <f>+B87</f>
        <v>42500</v>
      </c>
      <c r="C58" s="188">
        <f>+C87</f>
        <v>175100</v>
      </c>
      <c r="D58" s="183">
        <v>0</v>
      </c>
      <c r="E58" s="183">
        <v>0</v>
      </c>
      <c r="F58" s="183">
        <v>0</v>
      </c>
      <c r="G58" s="183">
        <v>0</v>
      </c>
      <c r="H58" s="183">
        <v>0</v>
      </c>
      <c r="I58" s="183">
        <v>0</v>
      </c>
      <c r="J58" s="183">
        <v>0</v>
      </c>
      <c r="K58" s="183">
        <v>0</v>
      </c>
      <c r="R58" t="s">
        <v>196</v>
      </c>
      <c r="S58" t="s">
        <v>197</v>
      </c>
    </row>
    <row r="59" spans="1:19">
      <c r="A59" s="186" t="str">
        <f>+'Income Statement'!B24</f>
        <v>Uncollectible Revenues</v>
      </c>
      <c r="B59" s="188">
        <f>-ROUND($N$59*(B39+B33),-2)</f>
        <v>-3600</v>
      </c>
      <c r="C59" s="188">
        <f>-ROUND($N$59*(C39+C33),-2)</f>
        <v>-19300</v>
      </c>
      <c r="D59" s="188">
        <f>-ROUND($N$59*(D39+D33),-2)</f>
        <v>-26300</v>
      </c>
      <c r="E59" s="188">
        <f>-ROUND($N$59*(E39+E33),-2)</f>
        <v>-29100</v>
      </c>
      <c r="F59" s="188">
        <f>-ROUND($N$59*(F39+F33),-2)</f>
        <v>-30200</v>
      </c>
      <c r="G59" s="188">
        <f t="shared" ref="G59:K59" si="7">-ROUND($N$59*(G39+G33),-2)</f>
        <v>-23900</v>
      </c>
      <c r="H59" s="188">
        <f t="shared" si="7"/>
        <v>-24100</v>
      </c>
      <c r="I59" s="188">
        <f t="shared" si="7"/>
        <v>-24300</v>
      </c>
      <c r="J59" s="188">
        <f t="shared" si="7"/>
        <v>-24500</v>
      </c>
      <c r="K59" s="188">
        <f t="shared" si="7"/>
        <v>-24600</v>
      </c>
      <c r="M59" s="172" t="s">
        <v>90</v>
      </c>
      <c r="N59" s="164">
        <f>SUM('Key Assumptions'!C120)</f>
        <v>0.02</v>
      </c>
      <c r="R59" t="s">
        <v>196</v>
      </c>
      <c r="S59" t="s">
        <v>197</v>
      </c>
    </row>
    <row r="62" spans="1:19">
      <c r="A62" s="163" t="s">
        <v>171</v>
      </c>
    </row>
    <row r="63" spans="1:19">
      <c r="B63" s="722" t="s">
        <v>172</v>
      </c>
      <c r="C63" s="722"/>
      <c r="D63" s="722"/>
      <c r="E63" s="722"/>
      <c r="F63" s="722"/>
      <c r="G63" s="536"/>
      <c r="H63" s="536"/>
      <c r="I63" s="536"/>
      <c r="J63" s="536"/>
      <c r="K63" s="536"/>
    </row>
    <row r="64" spans="1:19">
      <c r="A64" t="str">
        <f>+'Income Statement'!B30</f>
        <v>Backhaul</v>
      </c>
      <c r="B64">
        <v>1</v>
      </c>
      <c r="C64">
        <v>2</v>
      </c>
      <c r="D64">
        <v>3</v>
      </c>
      <c r="E64">
        <v>4</v>
      </c>
      <c r="F64">
        <v>5</v>
      </c>
      <c r="G64">
        <v>6</v>
      </c>
      <c r="H64">
        <v>7</v>
      </c>
      <c r="I64">
        <v>8</v>
      </c>
      <c r="J64">
        <v>9</v>
      </c>
      <c r="K64">
        <v>10</v>
      </c>
    </row>
    <row r="65" spans="1:19">
      <c r="A65" s="172" t="s">
        <v>209</v>
      </c>
      <c r="B65" s="188">
        <f>+B54</f>
        <v>19800</v>
      </c>
      <c r="C65" s="188">
        <f t="shared" ref="C65:F65" si="8">+C54</f>
        <v>60000</v>
      </c>
      <c r="D65" s="188">
        <f t="shared" si="8"/>
        <v>60000</v>
      </c>
      <c r="E65" s="188">
        <f t="shared" si="8"/>
        <v>60000</v>
      </c>
      <c r="F65" s="188">
        <f t="shared" si="8"/>
        <v>60000</v>
      </c>
      <c r="G65" s="188">
        <v>60000</v>
      </c>
      <c r="H65" s="188">
        <v>60000</v>
      </c>
      <c r="I65" s="188">
        <v>60000</v>
      </c>
      <c r="J65" s="188">
        <v>60000</v>
      </c>
      <c r="K65" s="188">
        <v>60000</v>
      </c>
      <c r="L65" t="s">
        <v>212</v>
      </c>
      <c r="S65" t="s">
        <v>202</v>
      </c>
    </row>
    <row r="66" spans="1:19">
      <c r="A66" s="172" t="s">
        <v>210</v>
      </c>
      <c r="B66" s="194">
        <f t="shared" ref="B66:F66" si="9">+B55</f>
        <v>13860</v>
      </c>
      <c r="C66" s="194">
        <f t="shared" si="9"/>
        <v>42000</v>
      </c>
      <c r="D66" s="194">
        <f t="shared" si="9"/>
        <v>42000</v>
      </c>
      <c r="E66" s="194">
        <f t="shared" si="9"/>
        <v>42000</v>
      </c>
      <c r="F66" s="194">
        <f t="shared" si="9"/>
        <v>42000</v>
      </c>
      <c r="G66" s="194">
        <v>42000</v>
      </c>
      <c r="H66" s="194">
        <v>42000</v>
      </c>
      <c r="I66" s="194">
        <v>42000</v>
      </c>
      <c r="J66" s="194">
        <v>42000</v>
      </c>
      <c r="K66" s="194">
        <v>42000</v>
      </c>
      <c r="L66" t="s">
        <v>211</v>
      </c>
      <c r="S66" t="s">
        <v>202</v>
      </c>
    </row>
    <row r="67" spans="1:19" ht="60">
      <c r="A67" s="172" t="s">
        <v>496</v>
      </c>
      <c r="B67" s="194">
        <f>SUM(Revenue!B156*'Sources and Uses'!N67*3+Revenue!C156*'Sources and Uses'!N67*3+Revenue!D156*'Sources and Uses'!N67*3+Revenue!E156*'Sources and Uses'!N67*3)</f>
        <v>21000</v>
      </c>
      <c r="C67" s="194">
        <f>SUM(Revenue!F156*'Sources and Uses'!N67*3+Revenue!G156*'Sources and Uses'!N67*3+Revenue!H156*'Sources and Uses'!N67*3+Revenue!I156*'Sources and Uses'!N67*3)</f>
        <v>63000</v>
      </c>
      <c r="D67" s="194">
        <f>SUM(Revenue!J156*'Sources and Uses'!N67*3+Revenue!K156*'Sources and Uses'!N67*3+Revenue!L156*'Sources and Uses'!N67*3+Revenue!M156*'Sources and Uses'!N67*3)</f>
        <v>84000</v>
      </c>
      <c r="E67" s="194">
        <f>SUM(Revenue!N156*'Sources and Uses'!N67*3+Revenue!O156*'Sources and Uses'!N67*3+Revenue!P156*'Sources and Uses'!N67*3+Revenue!Q156*'Sources and Uses'!N67*3)</f>
        <v>84000</v>
      </c>
      <c r="F67" s="194">
        <f>SUM(Revenue!R156*'Sources and Uses'!N67*3+Revenue!S156*'Sources and Uses'!N67*3+Revenue!T156*'Sources and Uses'!N67*3+Revenue!U156*'Sources and Uses'!N67*3)</f>
        <v>84000</v>
      </c>
      <c r="G67" s="194">
        <f>SUM(Revenue!S156*'Sources and Uses'!N67*3+Revenue!T156*'Sources and Uses'!N67*3+Revenue!U156*'Sources and Uses'!N67*3+Revenue!V156*'Sources and Uses'!N67*3)</f>
        <v>84000</v>
      </c>
      <c r="H67" s="194">
        <f>SUM(Revenue!T156*'Sources and Uses'!N67*3+Revenue!U156*'Sources and Uses'!N67*3+Revenue!V156*'Sources and Uses'!N67*3+Revenue!W156*'Sources and Uses'!N67*3)</f>
        <v>84000</v>
      </c>
      <c r="I67" s="194">
        <f>SUM(Revenue!U156*'Sources and Uses'!N67*3+Revenue!V156*'Sources and Uses'!N67*3+Revenue!W156*'Sources and Uses'!N67*3+Revenue!X156*'Sources and Uses'!N67*3)</f>
        <v>84000</v>
      </c>
      <c r="J67" s="194">
        <f>SUM(Revenue!V156*'Sources and Uses'!N67*3+Revenue!W156*'Sources and Uses'!N67*3+Revenue!X156*'Sources and Uses'!N67*3+Revenue!Y156*'Sources and Uses'!N67*3)</f>
        <v>84000</v>
      </c>
      <c r="K67" s="194">
        <f>SUM(Revenue!W156*'Sources and Uses'!N67*3+Revenue!X156*'Sources and Uses'!N67*3+Revenue!Y156*'Sources and Uses'!N67*3+Revenue!Z156*'Sources and Uses'!N67*3)</f>
        <v>84000</v>
      </c>
      <c r="L67" s="477" t="s">
        <v>498</v>
      </c>
      <c r="M67" s="474" t="s">
        <v>494</v>
      </c>
      <c r="N67" s="195">
        <f>SUM('Key Assumptions'!C121)</f>
        <v>3500</v>
      </c>
    </row>
    <row r="68" spans="1:19">
      <c r="A68" s="719" t="s">
        <v>234</v>
      </c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96"/>
      <c r="O68" s="172" t="s">
        <v>235</v>
      </c>
      <c r="P68" t="s">
        <v>236</v>
      </c>
      <c r="S68" t="s">
        <v>202</v>
      </c>
    </row>
    <row r="69" spans="1:19">
      <c r="A69" s="719"/>
      <c r="B69" s="292">
        <f>ROUND((Revenue!B84*3+Revenue!C84*3+Revenue!D84*3+Revenue!E84*3)*'Sources and Uses'!$O69,-2)</f>
        <v>0</v>
      </c>
      <c r="C69" s="292">
        <f>ROUND((Revenue!F84*3+Revenue!G84*3+Revenue!H84*3+Revenue!I84*3)*'Sources and Uses'!$O69,-2)</f>
        <v>0</v>
      </c>
      <c r="D69" s="292">
        <f>ROUND((Revenue!J84*3+Revenue!K84*3+Revenue!L84*3+Revenue!M84*3)*'Sources and Uses'!$O69,-2)</f>
        <v>0</v>
      </c>
      <c r="E69" s="292">
        <f>ROUND((Revenue!N84*3+Revenue!O84*3+Revenue!P84*3+Revenue!Q84*3)*'Sources and Uses'!$O69,-2)</f>
        <v>0</v>
      </c>
      <c r="F69" s="292">
        <f>ROUND((Revenue!R84*3+Revenue!S84*3+Revenue!T84*3+Revenue!U84*3)*'Sources and Uses'!$O69,-2)</f>
        <v>0</v>
      </c>
      <c r="G69" s="292"/>
      <c r="H69" s="292"/>
      <c r="I69" s="292"/>
      <c r="J69" s="292"/>
      <c r="K69" s="292"/>
      <c r="L69" s="196"/>
      <c r="N69" s="718" t="s">
        <v>431</v>
      </c>
      <c r="O69" s="206">
        <v>0</v>
      </c>
      <c r="P69" s="206">
        <v>1.25</v>
      </c>
      <c r="Q69" t="s">
        <v>238</v>
      </c>
    </row>
    <row r="70" spans="1:19">
      <c r="A70" s="719"/>
      <c r="B70" s="292">
        <f>ROUND((Revenue!B85*3+Revenue!C85*3+Revenue!D85*3+Revenue!E85*3)*'Sources and Uses'!$O70,-2)</f>
        <v>0</v>
      </c>
      <c r="C70" s="292">
        <f>ROUND((Revenue!F85*3+Revenue!G85*3+Revenue!H85*3+Revenue!I85*3)*'Sources and Uses'!$O70,-2)</f>
        <v>0</v>
      </c>
      <c r="D70" s="292">
        <f>ROUND((Revenue!J85*3+Revenue!K85*3+Revenue!L85*3+Revenue!M85*3)*'Sources and Uses'!$O70,-2)</f>
        <v>0</v>
      </c>
      <c r="E70" s="292">
        <f>ROUND((Revenue!N85*3+Revenue!O85*3+Revenue!P85*3+Revenue!Q85*3)*'Sources and Uses'!$O70,-2)</f>
        <v>0</v>
      </c>
      <c r="F70" s="292">
        <f>ROUND((Revenue!R85*3+Revenue!S85*3+Revenue!T85*3+Revenue!U85*3)*'Sources and Uses'!$O70,-2)</f>
        <v>0</v>
      </c>
      <c r="G70" s="292"/>
      <c r="H70" s="292"/>
      <c r="I70" s="292"/>
      <c r="J70" s="292"/>
      <c r="K70" s="292"/>
      <c r="L70" s="196"/>
      <c r="N70" s="718"/>
      <c r="O70" s="206">
        <v>0</v>
      </c>
      <c r="P70" s="206">
        <v>3.33</v>
      </c>
      <c r="Q70" t="s">
        <v>239</v>
      </c>
    </row>
    <row r="71" spans="1:19">
      <c r="A71" s="719"/>
      <c r="B71" s="292">
        <f>ROUND((Revenue!B86*3+Revenue!C86*3+Revenue!D86*3+Revenue!E86*3)*'Sources and Uses'!$O71,-2)</f>
        <v>0</v>
      </c>
      <c r="C71" s="292">
        <f>ROUND((Revenue!F86*3+Revenue!G86*3+Revenue!H86*3+Revenue!I86*3)*'Sources and Uses'!$O71,-2)</f>
        <v>0</v>
      </c>
      <c r="D71" s="292">
        <f>ROUND((Revenue!J86*3+Revenue!K86*3+Revenue!L86*3+Revenue!M86*3)*'Sources and Uses'!$O71,-2)</f>
        <v>0</v>
      </c>
      <c r="E71" s="292">
        <f>ROUND((Revenue!N86*3+Revenue!O86*3+Revenue!P86*3+Revenue!Q86*3)*'Sources and Uses'!$O71,-2)</f>
        <v>0</v>
      </c>
      <c r="F71" s="292">
        <f>ROUND((Revenue!R86*3+Revenue!S86*3+Revenue!T86*3+Revenue!U86*3)*'Sources and Uses'!$O71,-2)</f>
        <v>0</v>
      </c>
      <c r="G71" s="292"/>
      <c r="H71" s="292"/>
      <c r="I71" s="292"/>
      <c r="J71" s="292"/>
      <c r="K71" s="292"/>
      <c r="L71" s="196"/>
      <c r="N71" s="718"/>
      <c r="O71" s="206">
        <v>0</v>
      </c>
      <c r="P71" s="206">
        <v>6.67</v>
      </c>
      <c r="Q71" t="s">
        <v>240</v>
      </c>
    </row>
    <row r="72" spans="1:19">
      <c r="A72" s="719"/>
      <c r="B72" s="292">
        <f>ROUND((Revenue!B87*3+Revenue!C87*3+Revenue!D87*3+Revenue!E87*3)*'Sources and Uses'!$O72,-2)</f>
        <v>0</v>
      </c>
      <c r="C72" s="292">
        <f>ROUND((Revenue!F87*3+Revenue!G87*3+Revenue!H87*3+Revenue!I87*3)*'Sources and Uses'!$O72,-2)</f>
        <v>0</v>
      </c>
      <c r="D72" s="292">
        <f>ROUND((Revenue!J87*3+Revenue!K87*3+Revenue!L87*3+Revenue!M87*3)*'Sources and Uses'!$O72,-2)</f>
        <v>0</v>
      </c>
      <c r="E72" s="292">
        <f>ROUND((Revenue!N87*3+Revenue!O87*3+Revenue!P87*3+Revenue!Q87*3)*'Sources and Uses'!$O72,-2)</f>
        <v>0</v>
      </c>
      <c r="F72" s="292">
        <f>ROUND((Revenue!R87*3+Revenue!S87*3+Revenue!T87*3+Revenue!U87*3)*'Sources and Uses'!$O72,-2)</f>
        <v>0</v>
      </c>
      <c r="G72" s="292"/>
      <c r="H72" s="292"/>
      <c r="I72" s="292"/>
      <c r="J72" s="292"/>
      <c r="K72" s="292"/>
      <c r="L72" s="196"/>
      <c r="N72" s="718"/>
      <c r="O72" s="206">
        <v>0</v>
      </c>
      <c r="P72" s="206">
        <v>10</v>
      </c>
      <c r="Q72" t="s">
        <v>241</v>
      </c>
    </row>
    <row r="73" spans="1:19">
      <c r="A73" s="719"/>
      <c r="B73" s="292">
        <f>ROUND((Revenue!B88*3+Revenue!C88*3+Revenue!D88*3+Revenue!E88*3)*'Sources and Uses'!$O73,-2)</f>
        <v>0</v>
      </c>
      <c r="C73" s="292">
        <f>ROUND((Revenue!F88*3+Revenue!G88*3+Revenue!H88*3+Revenue!I88*3)*'Sources and Uses'!$O73,-2)</f>
        <v>0</v>
      </c>
      <c r="D73" s="292">
        <f>ROUND((Revenue!J88*3+Revenue!K88*3+Revenue!L88*3+Revenue!M88*3)*'Sources and Uses'!$O73,-2)</f>
        <v>0</v>
      </c>
      <c r="E73" s="292">
        <f>ROUND((Revenue!N88*3+Revenue!O88*3+Revenue!P88*3+Revenue!Q88*3)*'Sources and Uses'!$O73,-2)</f>
        <v>0</v>
      </c>
      <c r="F73" s="292">
        <f>ROUND((Revenue!R88*3+Revenue!S88*3+Revenue!T88*3+Revenue!U88*3)*'Sources and Uses'!$O73,-2)</f>
        <v>0</v>
      </c>
      <c r="G73" s="292"/>
      <c r="H73" s="292"/>
      <c r="I73" s="292"/>
      <c r="J73" s="292"/>
      <c r="K73" s="292"/>
      <c r="L73" s="196"/>
      <c r="N73" s="718"/>
      <c r="O73" s="206">
        <v>0</v>
      </c>
      <c r="P73" s="206">
        <v>13.33</v>
      </c>
      <c r="Q73" t="s">
        <v>242</v>
      </c>
    </row>
    <row r="74" spans="1:19">
      <c r="A74" s="191" t="s">
        <v>206</v>
      </c>
      <c r="B74" s="213">
        <v>0</v>
      </c>
      <c r="C74" s="213">
        <v>0</v>
      </c>
      <c r="D74" s="213">
        <v>0</v>
      </c>
      <c r="E74" s="213">
        <v>0</v>
      </c>
      <c r="F74" s="213">
        <v>0</v>
      </c>
      <c r="G74" s="213"/>
      <c r="H74" s="213"/>
      <c r="I74" s="213"/>
      <c r="J74" s="213"/>
      <c r="K74" s="213"/>
      <c r="L74" s="196"/>
    </row>
    <row r="75" spans="1:19">
      <c r="A75" s="191" t="s">
        <v>206</v>
      </c>
      <c r="B75" s="213">
        <v>0</v>
      </c>
      <c r="C75" s="213">
        <v>0</v>
      </c>
      <c r="D75" s="213">
        <v>0</v>
      </c>
      <c r="E75" s="213">
        <v>0</v>
      </c>
      <c r="F75" s="213">
        <v>0</v>
      </c>
      <c r="G75" s="213"/>
      <c r="H75" s="213"/>
      <c r="I75" s="213"/>
      <c r="J75" s="213"/>
      <c r="K75" s="213"/>
      <c r="L75" s="196"/>
    </row>
    <row r="76" spans="1:19" ht="17.25">
      <c r="A76" s="191" t="s">
        <v>206</v>
      </c>
      <c r="B76" s="193">
        <v>0</v>
      </c>
      <c r="C76" s="193">
        <v>0</v>
      </c>
      <c r="D76" s="193">
        <v>0</v>
      </c>
      <c r="E76" s="193">
        <v>0</v>
      </c>
      <c r="F76" s="193">
        <v>0</v>
      </c>
      <c r="G76" s="193">
        <v>0</v>
      </c>
      <c r="H76" s="193">
        <v>0</v>
      </c>
      <c r="I76" s="193">
        <v>0</v>
      </c>
      <c r="J76" s="193">
        <v>0</v>
      </c>
      <c r="K76" s="193">
        <v>0</v>
      </c>
      <c r="S76" t="s">
        <v>202</v>
      </c>
    </row>
    <row r="77" spans="1:19">
      <c r="A77" s="172" t="s">
        <v>10</v>
      </c>
      <c r="B77" s="179">
        <f>SUM(B65:B76)</f>
        <v>54660</v>
      </c>
      <c r="C77" s="179">
        <f t="shared" ref="C77:K77" si="10">SUM(C65:C76)</f>
        <v>165000</v>
      </c>
      <c r="D77" s="179">
        <f t="shared" si="10"/>
        <v>186000</v>
      </c>
      <c r="E77" s="179">
        <f t="shared" si="10"/>
        <v>186000</v>
      </c>
      <c r="F77" s="179">
        <f t="shared" si="10"/>
        <v>186000</v>
      </c>
      <c r="G77" s="179">
        <f t="shared" si="10"/>
        <v>186000</v>
      </c>
      <c r="H77" s="179">
        <f t="shared" si="10"/>
        <v>186000</v>
      </c>
      <c r="I77" s="179">
        <f t="shared" si="10"/>
        <v>186000</v>
      </c>
      <c r="J77" s="179">
        <f t="shared" si="10"/>
        <v>186000</v>
      </c>
      <c r="K77" s="179">
        <f t="shared" si="10"/>
        <v>186000</v>
      </c>
      <c r="R77" t="s">
        <v>196</v>
      </c>
      <c r="S77" t="s">
        <v>197</v>
      </c>
    </row>
    <row r="78" spans="1:19">
      <c r="A78" t="str">
        <f>+'Income Statement'!B31</f>
        <v>Network Maintenance/Monitoring</v>
      </c>
    </row>
    <row r="79" spans="1:19" ht="60">
      <c r="A79" s="172" t="s">
        <v>75</v>
      </c>
      <c r="B79" s="179">
        <f>ROUND(N79*N80,-2)</f>
        <v>22500</v>
      </c>
      <c r="C79" s="179">
        <f>ROUND(N79*N81,-2)</f>
        <v>112500</v>
      </c>
      <c r="D79" s="179">
        <f>ROUND(N79*N82,-2)</f>
        <v>150000</v>
      </c>
      <c r="E79" s="179">
        <f>+N79</f>
        <v>150000</v>
      </c>
      <c r="F79" s="179">
        <f>+E79</f>
        <v>150000</v>
      </c>
      <c r="G79" s="179">
        <f t="shared" ref="G79:K79" si="11">+F79</f>
        <v>150000</v>
      </c>
      <c r="H79" s="179">
        <f t="shared" si="11"/>
        <v>150000</v>
      </c>
      <c r="I79" s="179">
        <f t="shared" si="11"/>
        <v>150000</v>
      </c>
      <c r="J79" s="179">
        <f t="shared" si="11"/>
        <v>150000</v>
      </c>
      <c r="K79" s="179">
        <f t="shared" si="11"/>
        <v>150000</v>
      </c>
      <c r="L79" s="477" t="s">
        <v>637</v>
      </c>
      <c r="M79" t="s">
        <v>219</v>
      </c>
      <c r="N79" s="197">
        <f>SUM('Key Assumptions'!C122)</f>
        <v>150000</v>
      </c>
      <c r="S79" t="s">
        <v>202</v>
      </c>
    </row>
    <row r="80" spans="1:19">
      <c r="A80" s="172"/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M80" t="s">
        <v>78</v>
      </c>
      <c r="N80" s="164">
        <v>0.15</v>
      </c>
    </row>
    <row r="81" spans="1:19">
      <c r="A81" s="172"/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M81" t="s">
        <v>79</v>
      </c>
      <c r="N81" s="164">
        <v>0.75</v>
      </c>
    </row>
    <row r="82" spans="1:19">
      <c r="A82" s="172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M82" t="s">
        <v>80</v>
      </c>
      <c r="N82" s="164">
        <v>1</v>
      </c>
    </row>
    <row r="83" spans="1:19">
      <c r="A83" s="172" t="s">
        <v>218</v>
      </c>
      <c r="B83" s="166">
        <f>ROUND(N83*(N84*O84+P84*Q84),-2)</f>
        <v>10000</v>
      </c>
      <c r="C83" s="166">
        <f>ROUND(N83*(N85*O85+P85*Q85),-2)</f>
        <v>75000</v>
      </c>
      <c r="D83" s="166">
        <f>ROUND(N83*(N86*O86+P86*Q86),-2)</f>
        <v>110000</v>
      </c>
      <c r="E83" s="166">
        <f>ROUND(N83*(N86+P86),-2)</f>
        <v>110000</v>
      </c>
      <c r="F83" s="166">
        <f>+E83</f>
        <v>110000</v>
      </c>
      <c r="G83" s="166">
        <f t="shared" ref="G83:K83" si="12">+F83</f>
        <v>110000</v>
      </c>
      <c r="H83" s="166">
        <f t="shared" si="12"/>
        <v>110000</v>
      </c>
      <c r="I83" s="166">
        <f t="shared" si="12"/>
        <v>110000</v>
      </c>
      <c r="J83" s="166">
        <f t="shared" si="12"/>
        <v>110000</v>
      </c>
      <c r="K83" s="166">
        <f t="shared" si="12"/>
        <v>110000</v>
      </c>
      <c r="L83" s="476" t="s">
        <v>497</v>
      </c>
      <c r="M83" t="s">
        <v>219</v>
      </c>
      <c r="N83" s="197">
        <f>SUM('Key Assumptions'!C123)</f>
        <v>10000</v>
      </c>
      <c r="S83" t="s">
        <v>202</v>
      </c>
    </row>
    <row r="84" spans="1:19"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M84" t="s">
        <v>78</v>
      </c>
      <c r="N84" s="201">
        <v>4</v>
      </c>
      <c r="O84" s="164">
        <v>0.25</v>
      </c>
      <c r="P84" s="201">
        <v>7</v>
      </c>
      <c r="Q84" s="164">
        <v>0</v>
      </c>
    </row>
    <row r="85" spans="1:19"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M85" t="s">
        <v>79</v>
      </c>
      <c r="N85" s="202">
        <f>+N84</f>
        <v>4</v>
      </c>
      <c r="O85" s="164">
        <v>1</v>
      </c>
      <c r="P85" s="202">
        <f t="shared" ref="P85:P86" si="13">+P84</f>
        <v>7</v>
      </c>
      <c r="Q85" s="164">
        <v>0.5</v>
      </c>
    </row>
    <row r="86" spans="1:19"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M86" t="s">
        <v>80</v>
      </c>
      <c r="N86" s="202">
        <f>+N85</f>
        <v>4</v>
      </c>
      <c r="O86" s="164">
        <v>1</v>
      </c>
      <c r="P86" s="202">
        <f t="shared" si="13"/>
        <v>7</v>
      </c>
      <c r="Q86" s="164">
        <v>1</v>
      </c>
    </row>
    <row r="87" spans="1:19">
      <c r="A87" s="172" t="s">
        <v>243</v>
      </c>
      <c r="B87" s="179">
        <f>ROUND(+N89*N87*N88,-2)</f>
        <v>42500</v>
      </c>
      <c r="C87" s="198">
        <f>ROUND(+N89*N88*(1+N90),-2)</f>
        <v>175100</v>
      </c>
      <c r="D87" s="179">
        <f>ROUND(C87*(1+$N$131),-2)</f>
        <v>180400</v>
      </c>
      <c r="E87" s="179">
        <f t="shared" ref="E87:F87" si="14">ROUND(D87*(1+$N$131),-2)</f>
        <v>185800</v>
      </c>
      <c r="F87" s="179">
        <f t="shared" si="14"/>
        <v>191400</v>
      </c>
      <c r="G87" s="179">
        <f t="shared" ref="G87" si="15">ROUND(F87*(1+$N$131),-2)</f>
        <v>197100</v>
      </c>
      <c r="H87" s="179">
        <f t="shared" ref="H87" si="16">ROUND(G87*(1+$N$131),-2)</f>
        <v>203000</v>
      </c>
      <c r="I87" s="179">
        <f t="shared" ref="I87" si="17">ROUND(H87*(1+$N$131),-2)</f>
        <v>209100</v>
      </c>
      <c r="J87" s="179">
        <f t="shared" ref="J87" si="18">ROUND(I87*(1+$N$131),-2)</f>
        <v>215400</v>
      </c>
      <c r="K87" s="179">
        <f t="shared" ref="K87" si="19">ROUND(J87*(1+$N$131),-2)</f>
        <v>221900</v>
      </c>
      <c r="L87" t="s">
        <v>244</v>
      </c>
      <c r="M87" s="173" t="s">
        <v>88</v>
      </c>
      <c r="N87" s="195">
        <v>0.25</v>
      </c>
      <c r="S87" t="s">
        <v>202</v>
      </c>
    </row>
    <row r="88" spans="1:19">
      <c r="A88" s="200"/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M88" s="172" t="s">
        <v>86</v>
      </c>
      <c r="N88" s="195">
        <v>2</v>
      </c>
      <c r="S88" t="s">
        <v>202</v>
      </c>
    </row>
    <row r="89" spans="1:19">
      <c r="A89" s="200"/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M89" s="172" t="s">
        <v>73</v>
      </c>
      <c r="N89" s="197">
        <f>SUM('Key Assumptions'!C124)</f>
        <v>85000</v>
      </c>
      <c r="S89" t="s">
        <v>202</v>
      </c>
    </row>
    <row r="90" spans="1:19">
      <c r="A90" s="200"/>
      <c r="B90" s="181"/>
      <c r="C90" s="181"/>
      <c r="D90" s="181"/>
      <c r="E90" s="181"/>
      <c r="F90" s="181"/>
      <c r="G90" s="181"/>
      <c r="H90" s="181"/>
      <c r="I90" s="181"/>
      <c r="J90" s="181"/>
      <c r="K90" s="181"/>
      <c r="M90" s="172" t="s">
        <v>74</v>
      </c>
      <c r="N90" s="596">
        <f>SUM('Key Assumptions'!C125)</f>
        <v>0.03</v>
      </c>
      <c r="S90" t="s">
        <v>202</v>
      </c>
    </row>
    <row r="91" spans="1:19">
      <c r="A91" s="172" t="s">
        <v>206</v>
      </c>
      <c r="B91" s="182">
        <v>0</v>
      </c>
      <c r="C91" s="182">
        <v>0</v>
      </c>
      <c r="D91" s="182">
        <v>0</v>
      </c>
      <c r="E91" s="182">
        <v>0</v>
      </c>
      <c r="F91" s="182">
        <v>0</v>
      </c>
      <c r="G91" s="182"/>
      <c r="H91" s="182"/>
      <c r="I91" s="182"/>
      <c r="J91" s="182"/>
      <c r="K91" s="182"/>
      <c r="S91" t="s">
        <v>202</v>
      </c>
    </row>
    <row r="92" spans="1:19" ht="17.25">
      <c r="A92" s="172" t="s">
        <v>206</v>
      </c>
      <c r="B92" s="193">
        <v>0</v>
      </c>
      <c r="C92" s="193">
        <v>0</v>
      </c>
      <c r="D92" s="193">
        <v>0</v>
      </c>
      <c r="E92" s="193">
        <v>0</v>
      </c>
      <c r="F92" s="193">
        <v>0</v>
      </c>
      <c r="G92" s="193">
        <v>0</v>
      </c>
      <c r="H92" s="193">
        <v>0</v>
      </c>
      <c r="I92" s="193">
        <v>0</v>
      </c>
      <c r="J92" s="193">
        <v>0</v>
      </c>
      <c r="K92" s="193">
        <v>0</v>
      </c>
      <c r="S92" t="s">
        <v>202</v>
      </c>
    </row>
    <row r="93" spans="1:19">
      <c r="A93" s="172" t="s">
        <v>10</v>
      </c>
      <c r="B93" s="179">
        <f>SUM(B79:B92)</f>
        <v>75000</v>
      </c>
      <c r="C93" s="179">
        <f t="shared" ref="C93:K93" si="20">SUM(C79:C92)</f>
        <v>362600</v>
      </c>
      <c r="D93" s="179">
        <f t="shared" si="20"/>
        <v>440400</v>
      </c>
      <c r="E93" s="179">
        <f t="shared" si="20"/>
        <v>445800</v>
      </c>
      <c r="F93" s="179">
        <f t="shared" si="20"/>
        <v>451400</v>
      </c>
      <c r="G93" s="179">
        <f t="shared" si="20"/>
        <v>457100</v>
      </c>
      <c r="H93" s="179">
        <f t="shared" si="20"/>
        <v>463000</v>
      </c>
      <c r="I93" s="179">
        <f t="shared" si="20"/>
        <v>469100</v>
      </c>
      <c r="J93" s="179">
        <f t="shared" si="20"/>
        <v>475400</v>
      </c>
      <c r="K93" s="179">
        <f t="shared" si="20"/>
        <v>481900</v>
      </c>
      <c r="R93" t="s">
        <v>196</v>
      </c>
      <c r="S93" t="s">
        <v>197</v>
      </c>
    </row>
    <row r="94" spans="1:19">
      <c r="A94" t="str">
        <f>+'Income Statement'!B32</f>
        <v>Utilities</v>
      </c>
    </row>
    <row r="95" spans="1:19">
      <c r="A95" s="172" t="s">
        <v>89</v>
      </c>
      <c r="B95" s="204">
        <f>ROUND(N95*N96*N97,-2)</f>
        <v>6000</v>
      </c>
      <c r="C95" s="179">
        <f>ROUND(N95*N97,-2)</f>
        <v>12000</v>
      </c>
      <c r="D95" s="179">
        <f>+C95+N98</f>
        <v>15000</v>
      </c>
      <c r="E95" s="179">
        <f>+D95+N98</f>
        <v>18000</v>
      </c>
      <c r="F95" s="179">
        <f>+E95+N98</f>
        <v>21000</v>
      </c>
      <c r="G95" s="179">
        <f t="shared" ref="G95:J95" si="21">+F95+O98</f>
        <v>21000</v>
      </c>
      <c r="H95" s="179">
        <f t="shared" si="21"/>
        <v>21000</v>
      </c>
      <c r="I95" s="179">
        <f t="shared" si="21"/>
        <v>21000</v>
      </c>
      <c r="J95" s="179">
        <f t="shared" si="21"/>
        <v>21000</v>
      </c>
      <c r="K95" s="179">
        <v>21000</v>
      </c>
      <c r="L95" t="s">
        <v>85</v>
      </c>
      <c r="M95" t="s">
        <v>219</v>
      </c>
      <c r="N95" s="197">
        <f>500*12</f>
        <v>6000</v>
      </c>
      <c r="S95" t="s">
        <v>202</v>
      </c>
    </row>
    <row r="96" spans="1:19"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M96" s="173" t="s">
        <v>88</v>
      </c>
      <c r="N96" s="195">
        <v>0.5</v>
      </c>
    </row>
    <row r="97" spans="1:19"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M97" t="s">
        <v>86</v>
      </c>
      <c r="N97" s="195">
        <v>2</v>
      </c>
    </row>
    <row r="98" spans="1:19">
      <c r="A98" s="172" t="s">
        <v>206</v>
      </c>
      <c r="B98" s="182">
        <v>0</v>
      </c>
      <c r="C98" s="182">
        <v>0</v>
      </c>
      <c r="D98" s="182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2">
        <v>0</v>
      </c>
      <c r="K98" s="182">
        <v>0</v>
      </c>
      <c r="M98" t="s">
        <v>386</v>
      </c>
      <c r="N98" s="379">
        <v>3000</v>
      </c>
      <c r="S98" t="s">
        <v>202</v>
      </c>
    </row>
    <row r="99" spans="1:19">
      <c r="A99" s="172" t="s">
        <v>206</v>
      </c>
      <c r="B99" s="182">
        <v>0</v>
      </c>
      <c r="C99" s="182">
        <v>0</v>
      </c>
      <c r="D99" s="182">
        <v>0</v>
      </c>
      <c r="E99" s="182">
        <v>0</v>
      </c>
      <c r="F99" s="182">
        <v>0</v>
      </c>
      <c r="G99" s="182"/>
      <c r="H99" s="182"/>
      <c r="I99" s="182"/>
      <c r="J99" s="182"/>
      <c r="K99" s="182"/>
      <c r="N99" s="196"/>
      <c r="S99" t="s">
        <v>202</v>
      </c>
    </row>
    <row r="100" spans="1:19" ht="17.25">
      <c r="A100" s="172" t="s">
        <v>206</v>
      </c>
      <c r="B100" s="193">
        <v>0</v>
      </c>
      <c r="C100" s="193">
        <v>0</v>
      </c>
      <c r="D100" s="193">
        <v>0</v>
      </c>
      <c r="E100" s="193">
        <v>0</v>
      </c>
      <c r="F100" s="193">
        <v>0</v>
      </c>
      <c r="G100" s="193">
        <v>0</v>
      </c>
      <c r="H100" s="193">
        <v>0</v>
      </c>
      <c r="I100" s="193">
        <v>0</v>
      </c>
      <c r="J100" s="193">
        <v>0</v>
      </c>
      <c r="K100" s="193">
        <v>0</v>
      </c>
      <c r="S100" t="s">
        <v>202</v>
      </c>
    </row>
    <row r="101" spans="1:19">
      <c r="A101" s="172" t="s">
        <v>10</v>
      </c>
      <c r="B101" s="179">
        <f>SUM(B95:B100)</f>
        <v>6000</v>
      </c>
      <c r="C101" s="179">
        <f t="shared" ref="C101" si="22">SUM(C95:C100)</f>
        <v>12000</v>
      </c>
      <c r="D101" s="179">
        <f t="shared" ref="D101" si="23">SUM(D95:D100)</f>
        <v>15000</v>
      </c>
      <c r="E101" s="179">
        <f t="shared" ref="E101" si="24">SUM(E95:E100)</f>
        <v>18000</v>
      </c>
      <c r="F101" s="179">
        <f t="shared" ref="F101:K101" si="25">SUM(F95:F100)</f>
        <v>21000</v>
      </c>
      <c r="G101" s="179">
        <f t="shared" si="25"/>
        <v>21000</v>
      </c>
      <c r="H101" s="179">
        <f t="shared" si="25"/>
        <v>21000</v>
      </c>
      <c r="I101" s="179">
        <f t="shared" si="25"/>
        <v>21000</v>
      </c>
      <c r="J101" s="179">
        <f t="shared" si="25"/>
        <v>21000</v>
      </c>
      <c r="K101" s="179">
        <f t="shared" si="25"/>
        <v>21000</v>
      </c>
      <c r="R101" t="s">
        <v>196</v>
      </c>
      <c r="S101" t="s">
        <v>197</v>
      </c>
    </row>
    <row r="102" spans="1:19">
      <c r="A102" t="str">
        <f>+'Income Statement'!B33</f>
        <v>Leasing</v>
      </c>
    </row>
    <row r="103" spans="1:19">
      <c r="A103" s="172" t="s">
        <v>87</v>
      </c>
      <c r="B103" s="204">
        <f>ROUND(N103*N104*N105,-2)</f>
        <v>6000</v>
      </c>
      <c r="C103" s="179">
        <f>ROUND(N103*N105,-2)</f>
        <v>12000</v>
      </c>
      <c r="D103" s="179">
        <f>+C103</f>
        <v>12000</v>
      </c>
      <c r="E103" s="179">
        <f t="shared" ref="E103:F103" si="26">+D103</f>
        <v>12000</v>
      </c>
      <c r="F103" s="179">
        <f t="shared" si="26"/>
        <v>12000</v>
      </c>
      <c r="G103" s="179">
        <f t="shared" ref="G103" si="27">+F103</f>
        <v>12000</v>
      </c>
      <c r="H103" s="179">
        <f t="shared" ref="H103" si="28">+G103</f>
        <v>12000</v>
      </c>
      <c r="I103" s="179">
        <f t="shared" ref="I103" si="29">+H103</f>
        <v>12000</v>
      </c>
      <c r="J103" s="179">
        <f t="shared" ref="J103" si="30">+I103</f>
        <v>12000</v>
      </c>
      <c r="K103" s="179">
        <f t="shared" ref="K103" si="31">+J103</f>
        <v>12000</v>
      </c>
      <c r="L103" t="s">
        <v>85</v>
      </c>
      <c r="M103" t="s">
        <v>219</v>
      </c>
      <c r="N103" s="197">
        <v>6000</v>
      </c>
      <c r="S103" t="s">
        <v>202</v>
      </c>
    </row>
    <row r="104" spans="1:19"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M104" s="173" t="s">
        <v>88</v>
      </c>
      <c r="N104" s="195">
        <v>0.5</v>
      </c>
    </row>
    <row r="105" spans="1:19"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M105" t="s">
        <v>86</v>
      </c>
      <c r="N105" s="195">
        <v>2</v>
      </c>
    </row>
    <row r="106" spans="1:19">
      <c r="A106" s="172" t="s">
        <v>206</v>
      </c>
      <c r="B106" s="182">
        <v>0</v>
      </c>
      <c r="C106" s="182">
        <v>0</v>
      </c>
      <c r="D106" s="182">
        <v>0</v>
      </c>
      <c r="E106" s="182">
        <v>0</v>
      </c>
      <c r="F106" s="182">
        <v>0</v>
      </c>
      <c r="G106" s="182"/>
      <c r="H106" s="182"/>
      <c r="I106" s="182"/>
      <c r="J106" s="182"/>
      <c r="K106" s="182"/>
      <c r="N106" s="196"/>
      <c r="S106" t="s">
        <v>202</v>
      </c>
    </row>
    <row r="107" spans="1:19">
      <c r="A107" s="172" t="s">
        <v>206</v>
      </c>
      <c r="B107" s="182">
        <v>0</v>
      </c>
      <c r="C107" s="182">
        <v>0</v>
      </c>
      <c r="D107" s="182">
        <v>0</v>
      </c>
      <c r="E107" s="182">
        <v>0</v>
      </c>
      <c r="F107" s="182">
        <v>0</v>
      </c>
      <c r="G107" s="182"/>
      <c r="H107" s="182"/>
      <c r="I107" s="182"/>
      <c r="J107" s="182"/>
      <c r="K107" s="182"/>
      <c r="N107" s="196"/>
      <c r="S107" t="s">
        <v>202</v>
      </c>
    </row>
    <row r="108" spans="1:19" ht="17.25">
      <c r="A108" s="172" t="s">
        <v>206</v>
      </c>
      <c r="B108" s="193">
        <v>0</v>
      </c>
      <c r="C108" s="193">
        <v>0</v>
      </c>
      <c r="D108" s="193">
        <v>0</v>
      </c>
      <c r="E108" s="193">
        <v>0</v>
      </c>
      <c r="F108" s="193">
        <v>0</v>
      </c>
      <c r="G108" s="193">
        <v>0</v>
      </c>
      <c r="H108" s="193">
        <v>0</v>
      </c>
      <c r="I108" s="193">
        <v>0</v>
      </c>
      <c r="J108" s="193">
        <v>0</v>
      </c>
      <c r="K108" s="193">
        <v>0</v>
      </c>
      <c r="S108" t="s">
        <v>202</v>
      </c>
    </row>
    <row r="109" spans="1:19">
      <c r="A109" s="172" t="s">
        <v>10</v>
      </c>
      <c r="B109" s="179">
        <f>SUM(B103:B108)</f>
        <v>6000</v>
      </c>
      <c r="C109" s="179">
        <f t="shared" ref="C109:K109" si="32">SUM(C103:C108)</f>
        <v>12000</v>
      </c>
      <c r="D109" s="179">
        <f t="shared" si="32"/>
        <v>12000</v>
      </c>
      <c r="E109" s="179">
        <f t="shared" si="32"/>
        <v>12000</v>
      </c>
      <c r="F109" s="179">
        <f t="shared" si="32"/>
        <v>12000</v>
      </c>
      <c r="G109" s="179">
        <f t="shared" si="32"/>
        <v>12000</v>
      </c>
      <c r="H109" s="179">
        <f t="shared" si="32"/>
        <v>12000</v>
      </c>
      <c r="I109" s="179">
        <f t="shared" si="32"/>
        <v>12000</v>
      </c>
      <c r="J109" s="179">
        <f t="shared" si="32"/>
        <v>12000</v>
      </c>
      <c r="K109" s="179">
        <f t="shared" si="32"/>
        <v>12000</v>
      </c>
      <c r="R109" t="s">
        <v>196</v>
      </c>
      <c r="S109" t="s">
        <v>197</v>
      </c>
    </row>
    <row r="110" spans="1:19">
      <c r="A110" t="str">
        <f>+'Income Statement'!B34</f>
        <v>Sales/Marketing</v>
      </c>
    </row>
    <row r="111" spans="1:19" ht="30">
      <c r="A111" s="172" t="s">
        <v>430</v>
      </c>
      <c r="B111" s="188">
        <f>ROUND($N$59*(B33+B39),-2)</f>
        <v>3600</v>
      </c>
      <c r="C111" s="188">
        <f t="shared" ref="C111:K111" si="33">ROUND($N$59*(C33+C39),-2)</f>
        <v>19300</v>
      </c>
      <c r="D111" s="188">
        <f t="shared" si="33"/>
        <v>26300</v>
      </c>
      <c r="E111" s="188">
        <f t="shared" si="33"/>
        <v>29100</v>
      </c>
      <c r="F111" s="188">
        <f t="shared" si="33"/>
        <v>30200</v>
      </c>
      <c r="G111" s="188">
        <f t="shared" si="33"/>
        <v>23900</v>
      </c>
      <c r="H111" s="188">
        <f t="shared" si="33"/>
        <v>24100</v>
      </c>
      <c r="I111" s="188">
        <f t="shared" si="33"/>
        <v>24300</v>
      </c>
      <c r="J111" s="188">
        <f t="shared" si="33"/>
        <v>24500</v>
      </c>
      <c r="K111" s="188">
        <f t="shared" si="33"/>
        <v>24600</v>
      </c>
      <c r="L111" s="476" t="s">
        <v>499</v>
      </c>
      <c r="M111" s="474" t="s">
        <v>90</v>
      </c>
      <c r="N111" s="164">
        <f>SUM('Key Assumptions'!C126)</f>
        <v>0.02</v>
      </c>
      <c r="S111" t="s">
        <v>202</v>
      </c>
    </row>
    <row r="112" spans="1:19">
      <c r="A112" s="172" t="s">
        <v>206</v>
      </c>
      <c r="B112" s="182">
        <v>0</v>
      </c>
      <c r="C112" s="182">
        <v>0</v>
      </c>
      <c r="D112" s="182">
        <v>0</v>
      </c>
      <c r="E112" s="182">
        <v>0</v>
      </c>
      <c r="F112" s="182">
        <v>0</v>
      </c>
      <c r="G112" s="182"/>
      <c r="H112" s="182"/>
      <c r="I112" s="182"/>
      <c r="J112" s="182"/>
      <c r="K112" s="182"/>
      <c r="M112" s="281"/>
      <c r="S112" t="s">
        <v>202</v>
      </c>
    </row>
    <row r="113" spans="1:19">
      <c r="A113" s="172" t="s">
        <v>206</v>
      </c>
      <c r="B113" s="182">
        <v>0</v>
      </c>
      <c r="C113" s="182">
        <v>0</v>
      </c>
      <c r="D113" s="182">
        <v>0</v>
      </c>
      <c r="E113" s="182">
        <v>0</v>
      </c>
      <c r="F113" s="182">
        <v>0</v>
      </c>
      <c r="G113" s="182"/>
      <c r="H113" s="182"/>
      <c r="I113" s="182"/>
      <c r="J113" s="182"/>
      <c r="K113" s="182"/>
      <c r="M113" s="281"/>
      <c r="S113" t="s">
        <v>202</v>
      </c>
    </row>
    <row r="114" spans="1:19" ht="17.25">
      <c r="A114" s="172" t="s">
        <v>206</v>
      </c>
      <c r="B114" s="193">
        <v>0</v>
      </c>
      <c r="C114" s="193">
        <v>0</v>
      </c>
      <c r="D114" s="193">
        <v>0</v>
      </c>
      <c r="E114" s="193">
        <v>0</v>
      </c>
      <c r="F114" s="193">
        <v>0</v>
      </c>
      <c r="G114" s="193">
        <v>0</v>
      </c>
      <c r="H114" s="193">
        <v>0</v>
      </c>
      <c r="I114" s="193">
        <v>0</v>
      </c>
      <c r="J114" s="193">
        <v>0</v>
      </c>
      <c r="K114" s="193">
        <v>0</v>
      </c>
      <c r="S114" t="s">
        <v>202</v>
      </c>
    </row>
    <row r="115" spans="1:19">
      <c r="A115" s="172" t="s">
        <v>10</v>
      </c>
      <c r="B115" s="179">
        <f>SUM(B111:B114)</f>
        <v>3600</v>
      </c>
      <c r="C115" s="179">
        <f t="shared" ref="C115:K115" si="34">SUM(C111:C114)</f>
        <v>19300</v>
      </c>
      <c r="D115" s="179">
        <f t="shared" si="34"/>
        <v>26300</v>
      </c>
      <c r="E115" s="179">
        <f t="shared" si="34"/>
        <v>29100</v>
      </c>
      <c r="F115" s="179">
        <f t="shared" si="34"/>
        <v>30200</v>
      </c>
      <c r="G115" s="179">
        <f t="shared" si="34"/>
        <v>23900</v>
      </c>
      <c r="H115" s="179">
        <f t="shared" si="34"/>
        <v>24100</v>
      </c>
      <c r="I115" s="179">
        <f t="shared" si="34"/>
        <v>24300</v>
      </c>
      <c r="J115" s="179">
        <f t="shared" si="34"/>
        <v>24500</v>
      </c>
      <c r="K115" s="179">
        <f t="shared" si="34"/>
        <v>24600</v>
      </c>
      <c r="R115" t="s">
        <v>196</v>
      </c>
      <c r="S115" t="s">
        <v>197</v>
      </c>
    </row>
    <row r="116" spans="1:19">
      <c r="A116" t="str">
        <f>+'Income Statement'!B35</f>
        <v>Customer Care</v>
      </c>
    </row>
    <row r="117" spans="1:19" ht="45">
      <c r="A117" s="172" t="s">
        <v>221</v>
      </c>
      <c r="B117" s="198">
        <f>ROUND($N$117*Revenue!B135,-2)</f>
        <v>27800</v>
      </c>
      <c r="C117" s="198">
        <f>ROUND($N$117*Revenue!C135,-2)</f>
        <v>129800</v>
      </c>
      <c r="D117" s="198">
        <f>ROUND($N$117*Revenue!D135,-2)</f>
        <v>164800</v>
      </c>
      <c r="E117" s="198">
        <f>ROUND($N$117*Revenue!E135,-2)</f>
        <v>165700</v>
      </c>
      <c r="F117" s="198">
        <f>ROUND($N$117*Revenue!F135,-2)</f>
        <v>166100</v>
      </c>
      <c r="G117" s="198">
        <f>ROUND($N$117*Revenue!G135,-2)</f>
        <v>166300</v>
      </c>
      <c r="H117" s="198">
        <f>ROUND($N$117*Revenue!H135,-2)</f>
        <v>166600</v>
      </c>
      <c r="I117" s="198">
        <f>ROUND($N$117*Revenue!I135,-2)</f>
        <v>166800</v>
      </c>
      <c r="J117" s="198">
        <f>ROUND($N$117*Revenue!J135,-2)</f>
        <v>167000</v>
      </c>
      <c r="K117" s="198">
        <f>ROUND($N$117*Revenue!K135,-2)</f>
        <v>167300</v>
      </c>
      <c r="L117" s="477" t="s">
        <v>500</v>
      </c>
      <c r="M117" s="478" t="s">
        <v>431</v>
      </c>
      <c r="N117" s="195">
        <f>SUM('Key Assumptions'!C127)</f>
        <v>5</v>
      </c>
      <c r="S117" t="s">
        <v>202</v>
      </c>
    </row>
    <row r="118" spans="1:19">
      <c r="A118" s="172" t="s">
        <v>206</v>
      </c>
      <c r="B118" s="182">
        <v>0</v>
      </c>
      <c r="C118" s="182">
        <v>0</v>
      </c>
      <c r="D118" s="182">
        <v>0</v>
      </c>
      <c r="E118" s="182">
        <v>0</v>
      </c>
      <c r="F118" s="182">
        <v>0</v>
      </c>
      <c r="G118" s="182"/>
      <c r="H118" s="182"/>
      <c r="I118" s="182"/>
      <c r="J118" s="182"/>
      <c r="K118" s="182"/>
      <c r="M118" s="479"/>
      <c r="N118" s="195"/>
      <c r="S118" t="s">
        <v>202</v>
      </c>
    </row>
    <row r="119" spans="1:19">
      <c r="A119" s="172" t="s">
        <v>206</v>
      </c>
      <c r="B119" s="182">
        <v>0</v>
      </c>
      <c r="C119" s="182">
        <v>0</v>
      </c>
      <c r="D119" s="182">
        <v>0</v>
      </c>
      <c r="E119" s="182">
        <v>0</v>
      </c>
      <c r="F119" s="182">
        <v>0</v>
      </c>
      <c r="G119" s="182"/>
      <c r="H119" s="182"/>
      <c r="I119" s="182"/>
      <c r="J119" s="182"/>
      <c r="K119" s="182"/>
      <c r="M119" s="281"/>
      <c r="S119" t="s">
        <v>202</v>
      </c>
    </row>
    <row r="120" spans="1:19" ht="17.25">
      <c r="A120" s="172" t="s">
        <v>206</v>
      </c>
      <c r="B120" s="193">
        <v>0</v>
      </c>
      <c r="C120" s="193">
        <v>0</v>
      </c>
      <c r="D120" s="193">
        <v>0</v>
      </c>
      <c r="E120" s="193">
        <v>0</v>
      </c>
      <c r="F120" s="193">
        <v>0</v>
      </c>
      <c r="G120" s="193">
        <v>0</v>
      </c>
      <c r="H120" s="193">
        <v>0</v>
      </c>
      <c r="I120" s="193">
        <v>0</v>
      </c>
      <c r="J120" s="193">
        <v>0</v>
      </c>
      <c r="K120" s="193">
        <v>0</v>
      </c>
      <c r="S120" t="s">
        <v>202</v>
      </c>
    </row>
    <row r="121" spans="1:19">
      <c r="A121" s="172" t="s">
        <v>10</v>
      </c>
      <c r="B121" s="179">
        <f>SUM(B117:B120)</f>
        <v>27800</v>
      </c>
      <c r="C121" s="179">
        <f t="shared" ref="C121:K121" si="35">SUM(C117:C120)</f>
        <v>129800</v>
      </c>
      <c r="D121" s="179">
        <f t="shared" si="35"/>
        <v>164800</v>
      </c>
      <c r="E121" s="179">
        <f t="shared" si="35"/>
        <v>165700</v>
      </c>
      <c r="F121" s="179">
        <f t="shared" si="35"/>
        <v>166100</v>
      </c>
      <c r="G121" s="179">
        <f t="shared" si="35"/>
        <v>166300</v>
      </c>
      <c r="H121" s="179">
        <f t="shared" si="35"/>
        <v>166600</v>
      </c>
      <c r="I121" s="179">
        <f t="shared" si="35"/>
        <v>166800</v>
      </c>
      <c r="J121" s="179">
        <f t="shared" si="35"/>
        <v>167000</v>
      </c>
      <c r="K121" s="179">
        <f t="shared" si="35"/>
        <v>167300</v>
      </c>
      <c r="R121" t="s">
        <v>196</v>
      </c>
      <c r="S121" t="s">
        <v>197</v>
      </c>
    </row>
    <row r="122" spans="1:19">
      <c r="A122" t="str">
        <f>+'Income Statement'!B36</f>
        <v>Billing</v>
      </c>
    </row>
    <row r="123" spans="1:19">
      <c r="A123" s="172" t="s">
        <v>432</v>
      </c>
      <c r="B123" s="198">
        <f>ROUND($N$123*Revenue!B135,-2)</f>
        <v>2800</v>
      </c>
      <c r="C123" s="198">
        <f>ROUND($N$123*Revenue!C135,-2)</f>
        <v>13000</v>
      </c>
      <c r="D123" s="198">
        <f>ROUND($N$123*Revenue!D135,-2)</f>
        <v>16500</v>
      </c>
      <c r="E123" s="198">
        <f>ROUND($N$123*Revenue!E135,-2)</f>
        <v>16600</v>
      </c>
      <c r="F123" s="198">
        <f>ROUND($N$123*Revenue!F135,-2)</f>
        <v>16600</v>
      </c>
      <c r="G123" s="198">
        <f>ROUND($N$123*Revenue!G135,-2)</f>
        <v>16600</v>
      </c>
      <c r="H123" s="198">
        <f>ROUND($N$123*Revenue!H135,-2)</f>
        <v>16700</v>
      </c>
      <c r="I123" s="198">
        <f>ROUND($N$123*Revenue!I135,-2)</f>
        <v>16700</v>
      </c>
      <c r="J123" s="198">
        <f>ROUND($N$123*Revenue!J135,-2)</f>
        <v>16700</v>
      </c>
      <c r="K123" s="198">
        <f>ROUND($N$123*Revenue!K135,-2)</f>
        <v>16700</v>
      </c>
      <c r="L123" s="196"/>
      <c r="M123" s="209" t="s">
        <v>431</v>
      </c>
      <c r="N123" s="210">
        <f>SUM('Key Assumptions'!C128)</f>
        <v>0.5</v>
      </c>
      <c r="S123" t="s">
        <v>202</v>
      </c>
    </row>
    <row r="124" spans="1:19">
      <c r="A124" s="172" t="s">
        <v>206</v>
      </c>
      <c r="B124" s="182">
        <v>0</v>
      </c>
      <c r="C124" s="182">
        <v>0</v>
      </c>
      <c r="D124" s="182">
        <v>0</v>
      </c>
      <c r="E124" s="182">
        <v>0</v>
      </c>
      <c r="F124" s="182">
        <v>0</v>
      </c>
      <c r="G124" s="182"/>
      <c r="H124" s="182"/>
      <c r="I124" s="182"/>
      <c r="J124" s="182"/>
      <c r="K124" s="182"/>
      <c r="S124" t="s">
        <v>202</v>
      </c>
    </row>
    <row r="125" spans="1:19">
      <c r="A125" s="172" t="s">
        <v>206</v>
      </c>
      <c r="B125" s="182">
        <v>0</v>
      </c>
      <c r="C125" s="182">
        <v>0</v>
      </c>
      <c r="D125" s="182">
        <v>0</v>
      </c>
      <c r="E125" s="182">
        <v>0</v>
      </c>
      <c r="F125" s="182">
        <v>0</v>
      </c>
      <c r="G125" s="182"/>
      <c r="H125" s="182"/>
      <c r="I125" s="182"/>
      <c r="J125" s="182"/>
      <c r="K125" s="182"/>
      <c r="S125" t="s">
        <v>202</v>
      </c>
    </row>
    <row r="126" spans="1:19" ht="17.25">
      <c r="A126" s="172" t="s">
        <v>206</v>
      </c>
      <c r="B126" s="193">
        <v>0</v>
      </c>
      <c r="C126" s="193">
        <v>0</v>
      </c>
      <c r="D126" s="193">
        <v>0</v>
      </c>
      <c r="E126" s="193">
        <v>0</v>
      </c>
      <c r="F126" s="193">
        <v>0</v>
      </c>
      <c r="G126" s="193">
        <v>0</v>
      </c>
      <c r="H126" s="193">
        <v>0</v>
      </c>
      <c r="I126" s="193">
        <v>0</v>
      </c>
      <c r="J126" s="193">
        <v>0</v>
      </c>
      <c r="K126" s="193">
        <v>0</v>
      </c>
      <c r="S126" t="s">
        <v>202</v>
      </c>
    </row>
    <row r="127" spans="1:19">
      <c r="A127" s="172" t="s">
        <v>10</v>
      </c>
      <c r="B127" s="179">
        <f>SUM(B123:B126)</f>
        <v>2800</v>
      </c>
      <c r="C127" s="179">
        <f t="shared" ref="C127:K127" si="36">SUM(C123:C126)</f>
        <v>13000</v>
      </c>
      <c r="D127" s="179">
        <f t="shared" si="36"/>
        <v>16500</v>
      </c>
      <c r="E127" s="179">
        <f t="shared" si="36"/>
        <v>16600</v>
      </c>
      <c r="F127" s="179">
        <f t="shared" si="36"/>
        <v>16600</v>
      </c>
      <c r="G127" s="179">
        <f t="shared" si="36"/>
        <v>16600</v>
      </c>
      <c r="H127" s="179">
        <f t="shared" si="36"/>
        <v>16700</v>
      </c>
      <c r="I127" s="179">
        <f t="shared" si="36"/>
        <v>16700</v>
      </c>
      <c r="J127" s="179">
        <f t="shared" si="36"/>
        <v>16700</v>
      </c>
      <c r="K127" s="179">
        <f t="shared" si="36"/>
        <v>16700</v>
      </c>
      <c r="R127" t="s">
        <v>196</v>
      </c>
      <c r="S127" t="s">
        <v>197</v>
      </c>
    </row>
    <row r="128" spans="1:19">
      <c r="A128" t="str">
        <f>+'Income Statement'!B37</f>
        <v>Corporate G&amp;A</v>
      </c>
      <c r="B128">
        <v>1</v>
      </c>
      <c r="C128">
        <v>2</v>
      </c>
      <c r="D128">
        <v>3</v>
      </c>
      <c r="E128">
        <v>4</v>
      </c>
      <c r="F128">
        <v>5</v>
      </c>
      <c r="G128">
        <v>6</v>
      </c>
      <c r="H128">
        <v>7</v>
      </c>
      <c r="I128">
        <v>8</v>
      </c>
      <c r="J128">
        <v>9</v>
      </c>
      <c r="K128">
        <v>10</v>
      </c>
    </row>
    <row r="129" spans="1:16">
      <c r="A129" s="172" t="s">
        <v>69</v>
      </c>
      <c r="B129" s="179">
        <f>ROUND(+N130*N129,-2)</f>
        <v>75000</v>
      </c>
      <c r="C129" s="198">
        <f>ROUND(+N130*(1+N131),-2)</f>
        <v>103000</v>
      </c>
      <c r="D129" s="179">
        <f>ROUND(C129*(1+$N$131),-2)</f>
        <v>106100</v>
      </c>
      <c r="E129" s="179">
        <f t="shared" ref="E129:F129" si="37">ROUND(D129*(1+$N$131),-2)</f>
        <v>109300</v>
      </c>
      <c r="F129" s="179">
        <f t="shared" si="37"/>
        <v>112600</v>
      </c>
      <c r="G129" s="179">
        <f t="shared" ref="G129" si="38">ROUND(F129*(1+$N$131),-2)</f>
        <v>116000</v>
      </c>
      <c r="H129" s="179">
        <f t="shared" ref="H129" si="39">ROUND(G129*(1+$N$131),-2)</f>
        <v>119500</v>
      </c>
      <c r="I129" s="179">
        <f t="shared" ref="I129" si="40">ROUND(H129*(1+$N$131),-2)</f>
        <v>123100</v>
      </c>
      <c r="J129" s="179">
        <f t="shared" ref="J129" si="41">ROUND(I129*(1+$N$131),-2)</f>
        <v>126800</v>
      </c>
      <c r="K129" s="179">
        <f t="shared" ref="K129" si="42">ROUND(J129*(1+$N$131),-2)</f>
        <v>130600</v>
      </c>
      <c r="L129" t="s">
        <v>72</v>
      </c>
      <c r="M129" s="173" t="s">
        <v>88</v>
      </c>
      <c r="N129" s="195">
        <v>0.75</v>
      </c>
      <c r="O129" t="s">
        <v>196</v>
      </c>
      <c r="P129" t="s">
        <v>202</v>
      </c>
    </row>
    <row r="130" spans="1:16">
      <c r="A130" s="200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M130" s="172" t="s">
        <v>73</v>
      </c>
      <c r="N130" s="197">
        <v>100000</v>
      </c>
    </row>
    <row r="131" spans="1:16">
      <c r="A131" s="200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M131" s="172" t="s">
        <v>74</v>
      </c>
      <c r="N131" s="164">
        <v>0.03</v>
      </c>
    </row>
    <row r="132" spans="1:16">
      <c r="A132" s="172" t="s">
        <v>228</v>
      </c>
      <c r="B132" s="194">
        <f>ROUND($N$132*B39,-2)</f>
        <v>0</v>
      </c>
      <c r="C132" s="194">
        <f t="shared" ref="C132:K132" si="43">ROUND($N$132*C39,-2)</f>
        <v>4400</v>
      </c>
      <c r="D132" s="194">
        <f t="shared" si="43"/>
        <v>4400</v>
      </c>
      <c r="E132" s="194">
        <f t="shared" si="43"/>
        <v>4400</v>
      </c>
      <c r="F132" s="194">
        <f t="shared" si="43"/>
        <v>4400</v>
      </c>
      <c r="G132" s="194">
        <f t="shared" si="43"/>
        <v>4400</v>
      </c>
      <c r="H132" s="194">
        <f t="shared" si="43"/>
        <v>4400</v>
      </c>
      <c r="I132" s="194">
        <f t="shared" si="43"/>
        <v>4400</v>
      </c>
      <c r="J132" s="194">
        <f t="shared" si="43"/>
        <v>4400</v>
      </c>
      <c r="K132" s="194">
        <f t="shared" si="43"/>
        <v>4400</v>
      </c>
      <c r="L132" s="196"/>
      <c r="M132" s="172" t="s">
        <v>90</v>
      </c>
      <c r="N132" s="164">
        <v>0.03</v>
      </c>
      <c r="P132" t="s">
        <v>202</v>
      </c>
    </row>
    <row r="133" spans="1:16">
      <c r="A133" s="172" t="s">
        <v>96</v>
      </c>
      <c r="B133" s="182">
        <v>5000</v>
      </c>
      <c r="C133" s="182">
        <v>5000</v>
      </c>
      <c r="D133" s="182">
        <v>5000</v>
      </c>
      <c r="E133" s="182">
        <v>5000</v>
      </c>
      <c r="F133" s="182">
        <v>5000</v>
      </c>
      <c r="G133" s="182">
        <v>5000</v>
      </c>
      <c r="H133" s="182">
        <v>5000</v>
      </c>
      <c r="I133" s="182">
        <v>5000</v>
      </c>
      <c r="J133" s="182">
        <v>5000</v>
      </c>
      <c r="K133" s="182">
        <v>5000</v>
      </c>
      <c r="P133" t="s">
        <v>202</v>
      </c>
    </row>
    <row r="134" spans="1:16" ht="17.25">
      <c r="A134" s="172" t="s">
        <v>233</v>
      </c>
      <c r="B134" s="199">
        <v>5000</v>
      </c>
      <c r="C134" s="199">
        <v>5000</v>
      </c>
      <c r="D134" s="199">
        <v>5000</v>
      </c>
      <c r="E134" s="199">
        <v>5000</v>
      </c>
      <c r="F134" s="199">
        <v>5000</v>
      </c>
      <c r="G134" s="199">
        <v>5000</v>
      </c>
      <c r="H134" s="199">
        <v>5000</v>
      </c>
      <c r="I134" s="199">
        <v>5000</v>
      </c>
      <c r="J134" s="199">
        <v>5000</v>
      </c>
      <c r="K134" s="199">
        <v>5000</v>
      </c>
      <c r="P134" t="s">
        <v>202</v>
      </c>
    </row>
    <row r="135" spans="1:16">
      <c r="A135" s="172" t="s">
        <v>220</v>
      </c>
      <c r="B135" s="179">
        <f>SUM(B129:B134)</f>
        <v>85000</v>
      </c>
      <c r="C135" s="179">
        <f t="shared" ref="C135:K135" si="44">SUM(C129:C134)</f>
        <v>117400</v>
      </c>
      <c r="D135" s="179">
        <f t="shared" si="44"/>
        <v>120500</v>
      </c>
      <c r="E135" s="179">
        <f t="shared" si="44"/>
        <v>123700</v>
      </c>
      <c r="F135" s="179">
        <f t="shared" si="44"/>
        <v>127000</v>
      </c>
      <c r="G135" s="179">
        <f t="shared" si="44"/>
        <v>130400</v>
      </c>
      <c r="H135" s="179">
        <f t="shared" si="44"/>
        <v>133900</v>
      </c>
      <c r="I135" s="179">
        <f t="shared" si="44"/>
        <v>137500</v>
      </c>
      <c r="J135" s="179">
        <f t="shared" si="44"/>
        <v>141200</v>
      </c>
      <c r="K135" s="179">
        <f t="shared" si="44"/>
        <v>145000</v>
      </c>
      <c r="O135" t="s">
        <v>196</v>
      </c>
      <c r="P135" t="s">
        <v>197</v>
      </c>
    </row>
    <row r="137" spans="1:16" ht="45">
      <c r="A137" t="str">
        <f>+'Income Statement'!B38</f>
        <v>ROW Access Fees</v>
      </c>
      <c r="B137" s="194">
        <f>ROUND($N$137*(B$39+B$33),-2)</f>
        <v>10800</v>
      </c>
      <c r="C137" s="194">
        <f t="shared" ref="C137:K137" si="45">ROUND($N$137*(C$39+C$33),-2)</f>
        <v>58000</v>
      </c>
      <c r="D137" s="194">
        <f t="shared" si="45"/>
        <v>78900</v>
      </c>
      <c r="E137" s="194">
        <f t="shared" si="45"/>
        <v>87400</v>
      </c>
      <c r="F137" s="194">
        <f t="shared" si="45"/>
        <v>90500</v>
      </c>
      <c r="G137" s="194">
        <f t="shared" si="45"/>
        <v>71800</v>
      </c>
      <c r="H137" s="194">
        <f t="shared" si="45"/>
        <v>72400</v>
      </c>
      <c r="I137" s="194">
        <f t="shared" si="45"/>
        <v>72900</v>
      </c>
      <c r="J137" s="194">
        <f t="shared" si="45"/>
        <v>73400</v>
      </c>
      <c r="K137" s="194">
        <f t="shared" si="45"/>
        <v>73900</v>
      </c>
      <c r="L137" s="477" t="s">
        <v>501</v>
      </c>
      <c r="M137" s="474" t="s">
        <v>90</v>
      </c>
      <c r="N137" s="164">
        <v>0.06</v>
      </c>
      <c r="O137" t="s">
        <v>196</v>
      </c>
      <c r="P137" t="s">
        <v>197</v>
      </c>
    </row>
    <row r="139" spans="1:16">
      <c r="A139" t="str">
        <f>+'Income Statement'!B39</f>
        <v>Other</v>
      </c>
      <c r="B139" s="183">
        <v>0</v>
      </c>
      <c r="C139" s="183">
        <v>0</v>
      </c>
      <c r="D139" s="183">
        <v>0</v>
      </c>
      <c r="E139" s="183">
        <v>0</v>
      </c>
      <c r="F139" s="183">
        <v>0</v>
      </c>
      <c r="G139" s="183"/>
      <c r="H139" s="183"/>
      <c r="I139" s="183"/>
      <c r="J139" s="183"/>
      <c r="K139" s="183"/>
      <c r="O139" t="s">
        <v>196</v>
      </c>
      <c r="P139" t="s">
        <v>197</v>
      </c>
    </row>
  </sheetData>
  <mergeCells count="6">
    <mergeCell ref="N69:N73"/>
    <mergeCell ref="A68:A73"/>
    <mergeCell ref="A43:A46"/>
    <mergeCell ref="B19:F19"/>
    <mergeCell ref="B9:F9"/>
    <mergeCell ref="B63:F63"/>
  </mergeCells>
  <phoneticPr fontId="38" type="noConversion"/>
  <printOptions horizontalCentered="1" verticalCentered="1"/>
  <pageMargins left="0.25" right="0.25" top="0.25" bottom="0.25" header="0.3" footer="0.3"/>
  <pageSetup scale="47" fitToHeight="3" orientation="landscape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>
  <dimension ref="A3:Z170"/>
  <sheetViews>
    <sheetView tabSelected="1" topLeftCell="A60" workbookViewId="0">
      <selection activeCell="B76" sqref="B76:K76"/>
    </sheetView>
  </sheetViews>
  <sheetFormatPr defaultColWidth="8.85546875" defaultRowHeight="15"/>
  <cols>
    <col min="1" max="1" width="30" customWidth="1"/>
    <col min="2" max="2" width="10.7109375" customWidth="1"/>
    <col min="3" max="3" width="14.42578125" customWidth="1"/>
    <col min="4" max="4" width="13.140625" customWidth="1"/>
    <col min="5" max="5" width="12.140625" customWidth="1"/>
    <col min="6" max="6" width="11.85546875" customWidth="1"/>
    <col min="7" max="7" width="12.85546875" customWidth="1"/>
    <col min="8" max="8" width="13.28515625" customWidth="1"/>
    <col min="9" max="9" width="13" customWidth="1"/>
    <col min="10" max="10" width="12" customWidth="1"/>
    <col min="11" max="11" width="12.5703125" customWidth="1"/>
    <col min="12" max="15" width="10.7109375" customWidth="1"/>
    <col min="16" max="16" width="11.7109375" customWidth="1"/>
    <col min="17" max="17" width="12.28515625" customWidth="1"/>
    <col min="18" max="18" width="12.85546875" customWidth="1"/>
    <col min="19" max="19" width="12.7109375" customWidth="1"/>
    <col min="20" max="21" width="12.5703125" customWidth="1"/>
    <col min="22" max="22" width="12.85546875" customWidth="1"/>
    <col min="23" max="23" width="12.7109375" customWidth="1"/>
    <col min="24" max="25" width="12.5703125" customWidth="1"/>
    <col min="26" max="26" width="11.85546875" customWidth="1"/>
  </cols>
  <sheetData>
    <row r="3" spans="1:26">
      <c r="B3" s="722" t="s">
        <v>78</v>
      </c>
      <c r="C3" s="722"/>
      <c r="D3" s="722"/>
      <c r="E3" s="722"/>
      <c r="F3" s="722" t="s">
        <v>79</v>
      </c>
      <c r="G3" s="722"/>
      <c r="H3" s="722"/>
      <c r="I3" s="722"/>
      <c r="J3" s="722" t="s">
        <v>80</v>
      </c>
      <c r="K3" s="722"/>
      <c r="L3" s="722"/>
      <c r="M3" s="722"/>
      <c r="N3" s="722" t="s">
        <v>81</v>
      </c>
      <c r="O3" s="722"/>
      <c r="P3" s="722"/>
      <c r="Q3" s="722"/>
      <c r="R3" s="722" t="s">
        <v>82</v>
      </c>
      <c r="S3" s="722"/>
      <c r="T3" s="722"/>
      <c r="U3" s="722"/>
      <c r="V3" s="723" t="s">
        <v>604</v>
      </c>
      <c r="W3" s="723"/>
      <c r="X3" s="723"/>
      <c r="Y3" s="723"/>
      <c r="Z3" s="723"/>
    </row>
    <row r="4" spans="1:26">
      <c r="B4" s="161" t="s">
        <v>316</v>
      </c>
      <c r="C4" s="161" t="s">
        <v>317</v>
      </c>
      <c r="D4" s="161" t="s">
        <v>318</v>
      </c>
      <c r="E4" s="161" t="s">
        <v>319</v>
      </c>
      <c r="F4" s="161" t="s">
        <v>316</v>
      </c>
      <c r="G4" s="161" t="s">
        <v>317</v>
      </c>
      <c r="H4" s="161" t="s">
        <v>318</v>
      </c>
      <c r="I4" s="161" t="s">
        <v>319</v>
      </c>
      <c r="J4" s="161" t="s">
        <v>316</v>
      </c>
      <c r="K4" s="161" t="s">
        <v>317</v>
      </c>
      <c r="L4" s="161" t="s">
        <v>318</v>
      </c>
      <c r="M4" s="161" t="s">
        <v>319</v>
      </c>
      <c r="N4" s="161" t="s">
        <v>316</v>
      </c>
      <c r="O4" s="161" t="s">
        <v>317</v>
      </c>
      <c r="P4" s="161" t="s">
        <v>318</v>
      </c>
      <c r="Q4" s="161" t="s">
        <v>319</v>
      </c>
      <c r="R4" s="161" t="s">
        <v>316</v>
      </c>
      <c r="S4" s="161" t="s">
        <v>317</v>
      </c>
      <c r="T4" s="161" t="s">
        <v>318</v>
      </c>
      <c r="U4" s="161" t="s">
        <v>319</v>
      </c>
      <c r="V4" s="551">
        <v>6</v>
      </c>
      <c r="W4" s="551">
        <v>7</v>
      </c>
      <c r="X4" s="551">
        <v>8</v>
      </c>
      <c r="Y4" s="551">
        <v>9</v>
      </c>
      <c r="Z4" s="551">
        <v>10</v>
      </c>
    </row>
    <row r="5" spans="1:26">
      <c r="A5" t="s">
        <v>321</v>
      </c>
    </row>
    <row r="6" spans="1:26">
      <c r="A6" s="172" t="str">
        <f>+'Attachment B1 (Last Mile)'!A8</f>
        <v>UC2B 20/100Internet CNS</v>
      </c>
      <c r="B6" s="166">
        <f>+'Attachment H1 (Residential)'!D8</f>
        <v>0</v>
      </c>
      <c r="C6" s="166">
        <f>+'Attachment H1 (Residential)'!E8</f>
        <v>0</v>
      </c>
      <c r="D6" s="166">
        <f>+'Attachment H1 (Residential)'!F8</f>
        <v>558</v>
      </c>
      <c r="E6" s="166">
        <f>+'Attachment H1 (Residential)'!G8</f>
        <v>1116</v>
      </c>
      <c r="F6" s="166">
        <f>+'Attachment H1 (Residential)'!H8</f>
        <v>1418</v>
      </c>
      <c r="G6" s="166">
        <f>+'Attachment H1 (Residential)'!I8</f>
        <v>1720</v>
      </c>
      <c r="H6" s="166">
        <f>+'Attachment H1 (Residential)'!J8</f>
        <v>2022</v>
      </c>
      <c r="I6" s="166">
        <f>+'Attachment H1 (Residential)'!K8</f>
        <v>2324</v>
      </c>
      <c r="J6" s="166">
        <f>+'Attachment H1 (Residential)'!L8</f>
        <v>2324</v>
      </c>
      <c r="K6" s="166">
        <f>+'Attachment H1 (Residential)'!M8</f>
        <v>2324</v>
      </c>
      <c r="L6" s="166">
        <f>+'Attachment H1 (Residential)'!N8</f>
        <v>2324</v>
      </c>
      <c r="M6" s="166">
        <f>+'Attachment H1 (Residential)'!O8</f>
        <v>2324</v>
      </c>
      <c r="N6" s="166">
        <f>+'Attachment H1 (Residential)'!P8</f>
        <v>2324</v>
      </c>
      <c r="O6" s="166">
        <f>+'Attachment H1 (Residential)'!Q8</f>
        <v>2324</v>
      </c>
      <c r="P6" s="166">
        <f>+'Attachment H1 (Residential)'!R8</f>
        <v>2324</v>
      </c>
      <c r="Q6" s="166">
        <f>+'Attachment H1 (Residential)'!S8</f>
        <v>2324</v>
      </c>
      <c r="R6" s="166">
        <f>+'Attachment H1 (Residential)'!T8</f>
        <v>2324</v>
      </c>
      <c r="S6" s="166">
        <f>+'Attachment H1 (Residential)'!U8</f>
        <v>2324</v>
      </c>
      <c r="T6" s="166">
        <f>+'Attachment H1 (Residential)'!V8</f>
        <v>2324</v>
      </c>
      <c r="U6" s="166">
        <f>+'Attachment H1 (Residential)'!W8</f>
        <v>2324</v>
      </c>
      <c r="V6" s="166">
        <f>+'Attachment H1 (Residential)'!X8</f>
        <v>2324</v>
      </c>
      <c r="W6" s="166">
        <f>+'Attachment H1 (Residential)'!Y8</f>
        <v>2324</v>
      </c>
      <c r="X6" s="166">
        <f>+'Attachment H1 (Residential)'!Z8</f>
        <v>2324</v>
      </c>
      <c r="Y6" s="166">
        <f>+'Attachment H1 (Residential)'!AA8</f>
        <v>2324</v>
      </c>
      <c r="Z6" s="166">
        <f>+'Attachment H1 (Residential)'!AB8</f>
        <v>2324</v>
      </c>
    </row>
    <row r="7" spans="1:26">
      <c r="A7" s="172" t="str">
        <f>+'Attachment B1 (Last Mile)'!A9</f>
        <v>UC2B 30/100Internet CNS</v>
      </c>
      <c r="B7" s="166">
        <f>+'Attachment H1 (Residential)'!D12</f>
        <v>0</v>
      </c>
      <c r="C7" s="166">
        <f>+'Attachment H1 (Residential)'!E12</f>
        <v>0</v>
      </c>
      <c r="D7" s="166">
        <f>+'Attachment H1 (Residential)'!F12</f>
        <v>6</v>
      </c>
      <c r="E7" s="166">
        <f>+'Attachment H1 (Residential)'!G12</f>
        <v>12</v>
      </c>
      <c r="F7" s="166">
        <f>+'Attachment H1 (Residential)'!H12</f>
        <v>16</v>
      </c>
      <c r="G7" s="166">
        <f>+'Attachment H1 (Residential)'!I12</f>
        <v>20</v>
      </c>
      <c r="H7" s="166">
        <f>+'Attachment H1 (Residential)'!J12</f>
        <v>24</v>
      </c>
      <c r="I7" s="166">
        <f>+'Attachment H1 (Residential)'!K12</f>
        <v>28</v>
      </c>
      <c r="J7" s="166">
        <f>+'Attachment H1 (Residential)'!L12</f>
        <v>28</v>
      </c>
      <c r="K7" s="166">
        <f>+'Attachment H1 (Residential)'!M12</f>
        <v>28</v>
      </c>
      <c r="L7" s="166">
        <f>+'Attachment H1 (Residential)'!N12</f>
        <v>28</v>
      </c>
      <c r="M7" s="166">
        <f>+'Attachment H1 (Residential)'!O12</f>
        <v>28</v>
      </c>
      <c r="N7" s="166">
        <f>+'Attachment H1 (Residential)'!P12</f>
        <v>28</v>
      </c>
      <c r="O7" s="166">
        <f>+'Attachment H1 (Residential)'!Q12</f>
        <v>28</v>
      </c>
      <c r="P7" s="166">
        <f>+'Attachment H1 (Residential)'!R12</f>
        <v>28</v>
      </c>
      <c r="Q7" s="166">
        <f>+'Attachment H1 (Residential)'!S12</f>
        <v>28</v>
      </c>
      <c r="R7" s="166">
        <f>+'Attachment H1 (Residential)'!T12</f>
        <v>28</v>
      </c>
      <c r="S7" s="166">
        <f>+'Attachment H1 (Residential)'!U12</f>
        <v>28</v>
      </c>
      <c r="T7" s="166">
        <f>+'Attachment H1 (Residential)'!V12</f>
        <v>28</v>
      </c>
      <c r="U7" s="166">
        <f>+'Attachment H1 (Residential)'!W12</f>
        <v>28</v>
      </c>
      <c r="V7" s="166">
        <f>+'Attachment H1 (Residential)'!X12</f>
        <v>28</v>
      </c>
      <c r="W7" s="166">
        <f>+'Attachment H1 (Residential)'!Y12</f>
        <v>28</v>
      </c>
      <c r="X7" s="166">
        <f>+'Attachment H1 (Residential)'!Z12</f>
        <v>28</v>
      </c>
      <c r="Y7" s="166">
        <f>+'Attachment H1 (Residential)'!AA12</f>
        <v>28</v>
      </c>
      <c r="Z7" s="166">
        <f>+'Attachment H1 (Residential)'!AB12</f>
        <v>28</v>
      </c>
    </row>
    <row r="8" spans="1:26">
      <c r="A8" s="172" t="str">
        <f>+'Attachment B1 (Last Mile)'!A10</f>
        <v>UC2B 40/100Internet CNS</v>
      </c>
      <c r="B8" s="166">
        <f>+'Attachment H1 (Residential)'!D16</f>
        <v>0</v>
      </c>
      <c r="C8" s="166">
        <f>+'Attachment H1 (Residential)'!E16</f>
        <v>0</v>
      </c>
      <c r="D8" s="166">
        <f>+'Attachment H1 (Residential)'!F16</f>
        <v>6</v>
      </c>
      <c r="E8" s="166">
        <f>+'Attachment H1 (Residential)'!G16</f>
        <v>12</v>
      </c>
      <c r="F8" s="166">
        <f>+'Attachment H1 (Residential)'!H16</f>
        <v>16</v>
      </c>
      <c r="G8" s="166">
        <f>+'Attachment H1 (Residential)'!I16</f>
        <v>20</v>
      </c>
      <c r="H8" s="166">
        <f>+'Attachment H1 (Residential)'!J16</f>
        <v>24</v>
      </c>
      <c r="I8" s="166">
        <f>+'Attachment H1 (Residential)'!K16</f>
        <v>28</v>
      </c>
      <c r="J8" s="166">
        <f>+'Attachment H1 (Residential)'!L16</f>
        <v>28</v>
      </c>
      <c r="K8" s="166">
        <f>+'Attachment H1 (Residential)'!M16</f>
        <v>28</v>
      </c>
      <c r="L8" s="166">
        <f>+'Attachment H1 (Residential)'!N16</f>
        <v>28</v>
      </c>
      <c r="M8" s="166">
        <f>+'Attachment H1 (Residential)'!O16</f>
        <v>28</v>
      </c>
      <c r="N8" s="166">
        <f>+'Attachment H1 (Residential)'!P16</f>
        <v>28</v>
      </c>
      <c r="O8" s="166">
        <f>+'Attachment H1 (Residential)'!Q16</f>
        <v>28</v>
      </c>
      <c r="P8" s="166">
        <f>+'Attachment H1 (Residential)'!R16</f>
        <v>28</v>
      </c>
      <c r="Q8" s="166">
        <f>+'Attachment H1 (Residential)'!S16</f>
        <v>28</v>
      </c>
      <c r="R8" s="166">
        <f>+'Attachment H1 (Residential)'!T16</f>
        <v>28</v>
      </c>
      <c r="S8" s="166">
        <f>+'Attachment H1 (Residential)'!U16</f>
        <v>28</v>
      </c>
      <c r="T8" s="166">
        <f>+'Attachment H1 (Residential)'!V16</f>
        <v>28</v>
      </c>
      <c r="U8" s="166">
        <f>+'Attachment H1 (Residential)'!W16</f>
        <v>28</v>
      </c>
      <c r="V8" s="166">
        <f>+'Attachment H1 (Residential)'!X16</f>
        <v>28</v>
      </c>
      <c r="W8" s="166">
        <f>+'Attachment H1 (Residential)'!Y16</f>
        <v>28</v>
      </c>
      <c r="X8" s="166">
        <f>+'Attachment H1 (Residential)'!Z16</f>
        <v>28</v>
      </c>
      <c r="Y8" s="166">
        <f>+'Attachment H1 (Residential)'!AA16</f>
        <v>28</v>
      </c>
      <c r="Z8" s="166">
        <f>+'Attachment H1 (Residential)'!AB16</f>
        <v>28</v>
      </c>
    </row>
    <row r="9" spans="1:26">
      <c r="A9" s="172" t="str">
        <f>+'Attachment B1 (Last Mile)'!A11</f>
        <v>Wireless</v>
      </c>
      <c r="B9" s="166">
        <f>+'Attachment H1 (Residential)'!D20</f>
        <v>0</v>
      </c>
      <c r="C9" s="166">
        <f>+'Attachment H1 (Residential)'!E20</f>
        <v>0</v>
      </c>
      <c r="D9" s="166">
        <f>+'Attachment H1 (Residential)'!F20</f>
        <v>6</v>
      </c>
      <c r="E9" s="166">
        <f>+'Attachment H1 (Residential)'!G20</f>
        <v>12</v>
      </c>
      <c r="F9" s="166">
        <f>+'Attachment H1 (Residential)'!H20</f>
        <v>16</v>
      </c>
      <c r="G9" s="166">
        <f>+'Attachment H1 (Residential)'!I20</f>
        <v>20</v>
      </c>
      <c r="H9" s="166">
        <f>+'Attachment H1 (Residential)'!J20</f>
        <v>24</v>
      </c>
      <c r="I9" s="166">
        <f>+'Attachment H1 (Residential)'!K20</f>
        <v>28</v>
      </c>
      <c r="J9" s="166">
        <f>+'Attachment H1 (Residential)'!L20</f>
        <v>28</v>
      </c>
      <c r="K9" s="166">
        <f>+'Attachment H1 (Residential)'!M20</f>
        <v>28</v>
      </c>
      <c r="L9" s="166">
        <f>+'Attachment H1 (Residential)'!N20</f>
        <v>28</v>
      </c>
      <c r="M9" s="166">
        <f>+'Attachment H1 (Residential)'!O20</f>
        <v>28</v>
      </c>
      <c r="N9" s="166">
        <f>+'Attachment H1 (Residential)'!P20</f>
        <v>28</v>
      </c>
      <c r="O9" s="166">
        <f>+'Attachment H1 (Residential)'!Q20</f>
        <v>28</v>
      </c>
      <c r="P9" s="166">
        <f>+'Attachment H1 (Residential)'!R20</f>
        <v>28</v>
      </c>
      <c r="Q9" s="166">
        <f>+'Attachment H1 (Residential)'!S20</f>
        <v>28</v>
      </c>
      <c r="R9" s="166">
        <f>+'Attachment H1 (Residential)'!T20</f>
        <v>28</v>
      </c>
      <c r="S9" s="166">
        <f>+'Attachment H1 (Residential)'!U20</f>
        <v>28</v>
      </c>
      <c r="T9" s="166">
        <f>+'Attachment H1 (Residential)'!V20</f>
        <v>28</v>
      </c>
      <c r="U9" s="166">
        <f>+'Attachment H1 (Residential)'!W20</f>
        <v>28</v>
      </c>
      <c r="V9" s="166">
        <f>+'Attachment H1 (Residential)'!X20</f>
        <v>28</v>
      </c>
      <c r="W9" s="166">
        <f>+'Attachment H1 (Residential)'!Y20</f>
        <v>28</v>
      </c>
      <c r="X9" s="166">
        <f>+'Attachment H1 (Residential)'!Z20</f>
        <v>28</v>
      </c>
      <c r="Y9" s="166">
        <f>+'Attachment H1 (Residential)'!AA20</f>
        <v>28</v>
      </c>
      <c r="Z9" s="166">
        <f>+'Attachment H1 (Residential)'!AB20</f>
        <v>28</v>
      </c>
    </row>
    <row r="10" spans="1:26">
      <c r="A10" s="172" t="str">
        <f>+'Attachment B1 (Last Mile)'!A12</f>
        <v>Not applicable</v>
      </c>
      <c r="B10" s="166">
        <f>+'Attachment H1 (Residential)'!D24</f>
        <v>0</v>
      </c>
      <c r="C10" s="166">
        <f>+'Attachment H1 (Residential)'!E24</f>
        <v>0</v>
      </c>
      <c r="D10" s="166">
        <f>+'Attachment H1 (Residential)'!F24</f>
        <v>6</v>
      </c>
      <c r="E10" s="166">
        <f>+'Attachment H1 (Residential)'!G24</f>
        <v>12</v>
      </c>
      <c r="F10" s="166">
        <f>+'Attachment H1 (Residential)'!H24</f>
        <v>16</v>
      </c>
      <c r="G10" s="166">
        <f>+'Attachment H1 (Residential)'!I24</f>
        <v>20</v>
      </c>
      <c r="H10" s="166">
        <f>+'Attachment H1 (Residential)'!J24</f>
        <v>24</v>
      </c>
      <c r="I10" s="166">
        <f>+'Attachment H1 (Residential)'!K24</f>
        <v>28</v>
      </c>
      <c r="J10" s="166">
        <f>+'Attachment H1 (Residential)'!L24</f>
        <v>28</v>
      </c>
      <c r="K10" s="166">
        <f>+'Attachment H1 (Residential)'!M24</f>
        <v>28</v>
      </c>
      <c r="L10" s="166">
        <f>+'Attachment H1 (Residential)'!N24</f>
        <v>28</v>
      </c>
      <c r="M10" s="166">
        <f>+'Attachment H1 (Residential)'!O24</f>
        <v>28</v>
      </c>
      <c r="N10" s="166">
        <f>+'Attachment H1 (Residential)'!P24</f>
        <v>28</v>
      </c>
      <c r="O10" s="166">
        <f>+'Attachment H1 (Residential)'!Q24</f>
        <v>28</v>
      </c>
      <c r="P10" s="166">
        <f>+'Attachment H1 (Residential)'!R24</f>
        <v>28</v>
      </c>
      <c r="Q10" s="166">
        <f>+'Attachment H1 (Residential)'!S24</f>
        <v>28</v>
      </c>
      <c r="R10" s="166">
        <f>+'Attachment H1 (Residential)'!T24</f>
        <v>28</v>
      </c>
      <c r="S10" s="166">
        <f>+'Attachment H1 (Residential)'!U24</f>
        <v>28</v>
      </c>
      <c r="T10" s="166">
        <f>+'Attachment H1 (Residential)'!V24</f>
        <v>28</v>
      </c>
      <c r="U10" s="166">
        <f>+'Attachment H1 (Residential)'!W24</f>
        <v>28</v>
      </c>
      <c r="V10" s="166">
        <f>+'Attachment H1 (Residential)'!X24</f>
        <v>28</v>
      </c>
      <c r="W10" s="166">
        <f>+'Attachment H1 (Residential)'!Y24</f>
        <v>28</v>
      </c>
      <c r="X10" s="166">
        <f>+'Attachment H1 (Residential)'!Z24</f>
        <v>28</v>
      </c>
      <c r="Y10" s="166">
        <f>+'Attachment H1 (Residential)'!AA24</f>
        <v>28</v>
      </c>
      <c r="Z10" s="166">
        <f>+'Attachment H1 (Residential)'!AB24</f>
        <v>28</v>
      </c>
    </row>
    <row r="11" spans="1:26">
      <c r="A11" t="s">
        <v>322</v>
      </c>
    </row>
    <row r="12" spans="1:26">
      <c r="A12" s="172" t="str">
        <f>+'Attachment B1 (Last Mile)'!A14</f>
        <v>UC2B 20/20Internet CNS</v>
      </c>
      <c r="B12" s="179">
        <f>ROUND(B6*'Attachment B1 (Last Mile)'!$G8*3,-2)</f>
        <v>0</v>
      </c>
      <c r="C12" s="179">
        <f>ROUND(C6*'Attachment B1 (Last Mile)'!$G$8*3,-2)</f>
        <v>0</v>
      </c>
      <c r="D12" s="179">
        <f>ROUND(D6*'Attachment B1 (Last Mile)'!$G$8*3,-2)</f>
        <v>33500</v>
      </c>
      <c r="E12" s="179">
        <f>ROUND(E6*'Attachment B1 (Last Mile)'!$G$8*3,-2)</f>
        <v>66900</v>
      </c>
      <c r="F12" s="179">
        <f>ROUND(F6*'Attachment B1 (Last Mile)'!$G$8*3,-2)</f>
        <v>85000</v>
      </c>
      <c r="G12" s="179">
        <f>ROUND(G6*'Attachment B1 (Last Mile)'!$G$8*3,-2)</f>
        <v>103100</v>
      </c>
      <c r="H12" s="179">
        <f>ROUND(H6*'Attachment B1 (Last Mile)'!$G$8*3,-2)</f>
        <v>121300</v>
      </c>
      <c r="I12" s="179">
        <f>ROUND(I6*'Attachment B1 (Last Mile)'!$G$8*3,-2)</f>
        <v>139400</v>
      </c>
      <c r="J12" s="179">
        <f>ROUND(J6*'Attachment B1 (Last Mile)'!$G$8*3,-2)</f>
        <v>139400</v>
      </c>
      <c r="K12" s="179">
        <f>ROUND(K6*'Attachment B1 (Last Mile)'!$G$8*3,-2)</f>
        <v>139400</v>
      </c>
      <c r="L12" s="179">
        <f>ROUND(L6*'Attachment B1 (Last Mile)'!$G$8*3,-2)</f>
        <v>139400</v>
      </c>
      <c r="M12" s="179">
        <f>ROUND(M6*'Attachment B1 (Last Mile)'!$G$8*3,-2)</f>
        <v>139400</v>
      </c>
      <c r="N12" s="179">
        <f>ROUND(N6*'Attachment B1 (Last Mile)'!$G$8*3,-2)</f>
        <v>139400</v>
      </c>
      <c r="O12" s="179">
        <f>ROUND(O6*'Attachment B1 (Last Mile)'!$G$8*3,-2)</f>
        <v>139400</v>
      </c>
      <c r="P12" s="179">
        <f>ROUND(P6*'Attachment B1 (Last Mile)'!$G$8*3,-2)</f>
        <v>139400</v>
      </c>
      <c r="Q12" s="179">
        <f>ROUND(Q6*'Attachment B1 (Last Mile)'!$G$8*3,-2)</f>
        <v>139400</v>
      </c>
      <c r="R12" s="179">
        <f>ROUND(R6*'Attachment B1 (Last Mile)'!$G$8*3,-2)</f>
        <v>139400</v>
      </c>
      <c r="S12" s="179">
        <f>ROUND(S6*'Attachment B1 (Last Mile)'!$G$8*3,-2)</f>
        <v>139400</v>
      </c>
      <c r="T12" s="179">
        <f>ROUND(T6*'Attachment B1 (Last Mile)'!$G$8*3,-2)</f>
        <v>139400</v>
      </c>
      <c r="U12" s="179">
        <f>ROUND(U6*'Attachment B1 (Last Mile)'!$G$8*3,-2)</f>
        <v>139400</v>
      </c>
      <c r="V12" s="179">
        <f>ROUND(V6*'Attachment B1 (Last Mile)'!$G$8*12,-2)</f>
        <v>557500</v>
      </c>
      <c r="W12" s="179">
        <f>ROUND(W6*'Attachment B1 (Last Mile)'!$G$8*12,-2)</f>
        <v>557500</v>
      </c>
      <c r="X12" s="179">
        <f>ROUND(X6*'Attachment B1 (Last Mile)'!$G$8*12,-2)</f>
        <v>557500</v>
      </c>
      <c r="Y12" s="179">
        <f>ROUND(Y6*'Attachment B1 (Last Mile)'!$G$8*12,-2)</f>
        <v>557500</v>
      </c>
      <c r="Z12" s="179">
        <f>ROUND(Z6*'Attachment B1 (Last Mile)'!$G$8*12,-2)</f>
        <v>557500</v>
      </c>
    </row>
    <row r="13" spans="1:26">
      <c r="A13" s="172" t="str">
        <f>+'Attachment B1 (Last Mile)'!A15</f>
        <v>UC2B 40/40Internet CNS</v>
      </c>
      <c r="B13" s="166">
        <f>ROUND(B7*'Attachment B1 (Last Mile)'!$G8*3,-2)</f>
        <v>0</v>
      </c>
      <c r="C13" s="166">
        <f>ROUND(C7*'Attachment B1 (Last Mile)'!$G8*3,-2)</f>
        <v>0</v>
      </c>
      <c r="D13" s="166">
        <f>ROUND(D7*'Attachment B1 (Last Mile)'!$G8*3,-2)</f>
        <v>400</v>
      </c>
      <c r="E13" s="166">
        <f>ROUND(E7*'Attachment B1 (Last Mile)'!$G8*3,-2)</f>
        <v>700</v>
      </c>
      <c r="F13" s="166">
        <f>ROUND(F7*'Attachment B1 (Last Mile)'!$G8*3,-2)</f>
        <v>1000</v>
      </c>
      <c r="G13" s="166">
        <f>ROUND(G7*'Attachment B1 (Last Mile)'!$G8*3,-2)</f>
        <v>1200</v>
      </c>
      <c r="H13" s="166">
        <f>ROUND(H7*'Attachment B1 (Last Mile)'!$G8*3,-2)</f>
        <v>1400</v>
      </c>
      <c r="I13" s="166">
        <f>ROUND(I7*'Attachment B1 (Last Mile)'!$G8*3,-2)</f>
        <v>1700</v>
      </c>
      <c r="J13" s="166">
        <f>ROUND(J7*'Attachment B1 (Last Mile)'!$G8*3,-2)</f>
        <v>1700</v>
      </c>
      <c r="K13" s="166">
        <f>ROUND(K7*'Attachment B1 (Last Mile)'!$G8*3,-2)</f>
        <v>1700</v>
      </c>
      <c r="L13" s="166">
        <f>ROUND(L7*'Attachment B1 (Last Mile)'!$G8*3,-2)</f>
        <v>1700</v>
      </c>
      <c r="M13" s="166">
        <f>ROUND(M7*'Attachment B1 (Last Mile)'!$G8*3,-2)</f>
        <v>1700</v>
      </c>
      <c r="N13" s="166">
        <f>ROUND(N7*'Attachment B1 (Last Mile)'!$G8*3,-2)</f>
        <v>1700</v>
      </c>
      <c r="O13" s="166">
        <f>ROUND(O7*'Attachment B1 (Last Mile)'!$G8*3,-2)</f>
        <v>1700</v>
      </c>
      <c r="P13" s="166">
        <f>ROUND(P7*'Attachment B1 (Last Mile)'!$G8*3,-2)</f>
        <v>1700</v>
      </c>
      <c r="Q13" s="166">
        <f>ROUND(Q7*'Attachment B1 (Last Mile)'!$G8*3,-2)</f>
        <v>1700</v>
      </c>
      <c r="R13" s="166">
        <f>ROUND(R7*'Attachment B1 (Last Mile)'!$G8*3,-2)</f>
        <v>1700</v>
      </c>
      <c r="S13" s="166">
        <f>ROUND(S7*'Attachment B1 (Last Mile)'!$G8*3,-2)</f>
        <v>1700</v>
      </c>
      <c r="T13" s="166">
        <f>ROUND(T7*'Attachment B1 (Last Mile)'!$G8*3,-2)</f>
        <v>1700</v>
      </c>
      <c r="U13" s="166">
        <f>ROUND(U7*'Attachment B1 (Last Mile)'!$G8*3,-2)</f>
        <v>1700</v>
      </c>
      <c r="V13" s="166">
        <f>ROUND(V7*'Attachment B1 (Last Mile)'!$G8*12,-2)</f>
        <v>6700</v>
      </c>
      <c r="W13" s="166">
        <f>ROUND(W7*'Attachment B1 (Last Mile)'!$G8*12,-2)</f>
        <v>6700</v>
      </c>
      <c r="X13" s="166">
        <f>ROUND(X7*'Attachment B1 (Last Mile)'!$G8*12,-2)</f>
        <v>6700</v>
      </c>
      <c r="Y13" s="166">
        <f>ROUND(Y7*'Attachment B1 (Last Mile)'!$G8*12,-2)</f>
        <v>6700</v>
      </c>
      <c r="Z13" s="166">
        <f>ROUND(Z7*'Attachment B1 (Last Mile)'!$G8*12,-2)</f>
        <v>6700</v>
      </c>
    </row>
    <row r="14" spans="1:26">
      <c r="A14" s="172" t="str">
        <f>+'Attachment B1 (Last Mile)'!A16</f>
        <v>UC2B 60/60Internet CNS</v>
      </c>
      <c r="B14" s="166">
        <f>ROUND(B8*'Attachment B1 (Last Mile)'!$G9*3,-2)</f>
        <v>0</v>
      </c>
      <c r="C14" s="166">
        <f>ROUND(C8*'Attachment B1 (Last Mile)'!$G9*3,-2)</f>
        <v>0</v>
      </c>
      <c r="D14" s="166">
        <f>ROUND(D8*'Attachment B1 (Last Mile)'!$G9*3,-2)</f>
        <v>500</v>
      </c>
      <c r="E14" s="166">
        <f>ROUND(E8*'Attachment B1 (Last Mile)'!$G9*3,-2)</f>
        <v>1100</v>
      </c>
      <c r="F14" s="166">
        <f>ROUND(F8*'Attachment B1 (Last Mile)'!$G9*3,-2)</f>
        <v>1400</v>
      </c>
      <c r="G14" s="166">
        <f>ROUND(G8*'Attachment B1 (Last Mile)'!$G9*3,-2)</f>
        <v>1800</v>
      </c>
      <c r="H14" s="166">
        <f>ROUND(H8*'Attachment B1 (Last Mile)'!$G9*3,-2)</f>
        <v>2200</v>
      </c>
      <c r="I14" s="166">
        <f>ROUND(I8*'Attachment B1 (Last Mile)'!$G9*3,-2)</f>
        <v>2500</v>
      </c>
      <c r="J14" s="166">
        <f>ROUND(J8*'Attachment B1 (Last Mile)'!$G9*3,-2)</f>
        <v>2500</v>
      </c>
      <c r="K14" s="166">
        <f>ROUND(K8*'Attachment B1 (Last Mile)'!$G9*3,-2)</f>
        <v>2500</v>
      </c>
      <c r="L14" s="166">
        <f>ROUND(L8*'Attachment B1 (Last Mile)'!$G9*3,-2)</f>
        <v>2500</v>
      </c>
      <c r="M14" s="166">
        <f>ROUND(M8*'Attachment B1 (Last Mile)'!$G9*3,-2)</f>
        <v>2500</v>
      </c>
      <c r="N14" s="166">
        <f>ROUND(N8*'Attachment B1 (Last Mile)'!$G9*3,-2)</f>
        <v>2500</v>
      </c>
      <c r="O14" s="166">
        <f>ROUND(O8*'Attachment B1 (Last Mile)'!$G9*3,-2)</f>
        <v>2500</v>
      </c>
      <c r="P14" s="166">
        <f>ROUND(P8*'Attachment B1 (Last Mile)'!$G9*3,-2)</f>
        <v>2500</v>
      </c>
      <c r="Q14" s="166">
        <f>ROUND(Q8*'Attachment B1 (Last Mile)'!$G9*3,-2)</f>
        <v>2500</v>
      </c>
      <c r="R14" s="166">
        <f>ROUND(R8*'Attachment B1 (Last Mile)'!$G9*3,-2)</f>
        <v>2500</v>
      </c>
      <c r="S14" s="166">
        <f>ROUND(S8*'Attachment B1 (Last Mile)'!$G9*3,-2)</f>
        <v>2500</v>
      </c>
      <c r="T14" s="166">
        <f>ROUND(T8*'Attachment B1 (Last Mile)'!$G9*3,-2)</f>
        <v>2500</v>
      </c>
      <c r="U14" s="166">
        <f>ROUND(U8*'Attachment B1 (Last Mile)'!$G9*3,-2)</f>
        <v>2500</v>
      </c>
      <c r="V14" s="166">
        <f>ROUND(V8*'Attachment B1 (Last Mile)'!$G9*12,-2)</f>
        <v>10100</v>
      </c>
      <c r="W14" s="166">
        <f>ROUND(W8*'Attachment B1 (Last Mile)'!$G9*12,-2)</f>
        <v>10100</v>
      </c>
      <c r="X14" s="166">
        <f>ROUND(X8*'Attachment B1 (Last Mile)'!$G9*12,-2)</f>
        <v>10100</v>
      </c>
      <c r="Y14" s="166">
        <f>ROUND(Y8*'Attachment B1 (Last Mile)'!$G9*12,-2)</f>
        <v>10100</v>
      </c>
      <c r="Z14" s="166">
        <f>ROUND(Z8*'Attachment B1 (Last Mile)'!$G9*12,-2)</f>
        <v>10100</v>
      </c>
    </row>
    <row r="15" spans="1:26">
      <c r="A15" s="172" t="str">
        <f>+'Attachment B1 (Last Mile)'!A17</f>
        <v>UC2B 80/80Internet CNS</v>
      </c>
      <c r="B15" s="166">
        <f>ROUND(B9*'Attachment B1 (Last Mile)'!$G10*3,-2)</f>
        <v>0</v>
      </c>
      <c r="C15" s="166">
        <f>ROUND(C9*'Attachment B1 (Last Mile)'!$G10*3,-2)</f>
        <v>0</v>
      </c>
      <c r="D15" s="166">
        <f>ROUND(D9*'Attachment B1 (Last Mile)'!$G10*3,-2)</f>
        <v>700</v>
      </c>
      <c r="E15" s="166">
        <f>ROUND(E9*'Attachment B1 (Last Mile)'!$G10*3,-2)</f>
        <v>1400</v>
      </c>
      <c r="F15" s="166">
        <f>ROUND(F9*'Attachment B1 (Last Mile)'!$G10*3,-2)</f>
        <v>1900</v>
      </c>
      <c r="G15" s="166">
        <f>ROUND(G9*'Attachment B1 (Last Mile)'!$G10*3,-2)</f>
        <v>2400</v>
      </c>
      <c r="H15" s="166">
        <f>ROUND(H9*'Attachment B1 (Last Mile)'!$G10*3,-2)</f>
        <v>2900</v>
      </c>
      <c r="I15" s="166">
        <f>ROUND(I9*'Attachment B1 (Last Mile)'!$G10*3,-2)</f>
        <v>3300</v>
      </c>
      <c r="J15" s="166">
        <f>ROUND(J9*'Attachment B1 (Last Mile)'!$G10*3,-2)</f>
        <v>3300</v>
      </c>
      <c r="K15" s="166">
        <f>ROUND(K9*'Attachment B1 (Last Mile)'!$G10*3,-2)</f>
        <v>3300</v>
      </c>
      <c r="L15" s="166">
        <f>ROUND(L9*'Attachment B1 (Last Mile)'!$G10*3,-2)</f>
        <v>3300</v>
      </c>
      <c r="M15" s="166">
        <f>ROUND(M9*'Attachment B1 (Last Mile)'!$G10*3,-2)</f>
        <v>3300</v>
      </c>
      <c r="N15" s="166">
        <f>ROUND(N9*'Attachment B1 (Last Mile)'!$G10*3,-2)</f>
        <v>3300</v>
      </c>
      <c r="O15" s="166">
        <f>ROUND(O9*'Attachment B1 (Last Mile)'!$G10*3,-2)</f>
        <v>3300</v>
      </c>
      <c r="P15" s="166">
        <f>ROUND(P9*'Attachment B1 (Last Mile)'!$G10*3,-2)</f>
        <v>3300</v>
      </c>
      <c r="Q15" s="166">
        <f>ROUND(Q9*'Attachment B1 (Last Mile)'!$G10*3,-2)</f>
        <v>3300</v>
      </c>
      <c r="R15" s="166">
        <f>ROUND(R9*'Attachment B1 (Last Mile)'!$G10*3,-2)</f>
        <v>3300</v>
      </c>
      <c r="S15" s="166">
        <f>ROUND(S9*'Attachment B1 (Last Mile)'!$G10*3,-2)</f>
        <v>3300</v>
      </c>
      <c r="T15" s="166">
        <f>ROUND(T9*'Attachment B1 (Last Mile)'!$G10*3,-2)</f>
        <v>3300</v>
      </c>
      <c r="U15" s="166">
        <f>ROUND(U9*'Attachment B1 (Last Mile)'!$G10*3,-2)</f>
        <v>3300</v>
      </c>
      <c r="V15" s="166">
        <f>ROUND(V9*'Attachment B1 (Last Mile)'!$G10*12,-2)</f>
        <v>13400</v>
      </c>
      <c r="W15" s="166">
        <f>ROUND(W9*'Attachment B1 (Last Mile)'!$G10*12,-2)</f>
        <v>13400</v>
      </c>
      <c r="X15" s="166">
        <f>ROUND(X9*'Attachment B1 (Last Mile)'!$G10*12,-2)</f>
        <v>13400</v>
      </c>
      <c r="Y15" s="166">
        <f>ROUND(Y9*'Attachment B1 (Last Mile)'!$G10*12,-2)</f>
        <v>13400</v>
      </c>
      <c r="Z15" s="166">
        <f>ROUND(Z9*'Attachment B1 (Last Mile)'!$G10*12,-2)</f>
        <v>13400</v>
      </c>
    </row>
    <row r="16" spans="1:26" ht="17.25">
      <c r="A16" s="172" t="str">
        <f>+'Attachment B1 (Last Mile)'!A18</f>
        <v>UC2B 100/100Internet CNS</v>
      </c>
      <c r="B16" s="277">
        <f>ROUND(B10*'Attachment B1 (Last Mile)'!$G11*3,-2)</f>
        <v>0</v>
      </c>
      <c r="C16" s="277">
        <f>ROUND(C10*'Attachment B1 (Last Mile)'!$G11*3,-2)</f>
        <v>0</v>
      </c>
      <c r="D16" s="277">
        <f>ROUND(D10*'Attachment B1 (Last Mile)'!$G11*3,-2)</f>
        <v>0</v>
      </c>
      <c r="E16" s="277">
        <f>ROUND(E10*'Attachment B1 (Last Mile)'!$G11*3,-2)</f>
        <v>0</v>
      </c>
      <c r="F16" s="277">
        <f>ROUND(F10*'Attachment B1 (Last Mile)'!$G11*3,-2)</f>
        <v>0</v>
      </c>
      <c r="G16" s="277">
        <f>ROUND(G10*'Attachment B1 (Last Mile)'!$G11*3,-2)</f>
        <v>0</v>
      </c>
      <c r="H16" s="277">
        <f>ROUND(H10*'Attachment B1 (Last Mile)'!$G11*3,-2)</f>
        <v>0</v>
      </c>
      <c r="I16" s="277">
        <f>ROUND(I10*'Attachment B1 (Last Mile)'!$G11*3,-2)</f>
        <v>0</v>
      </c>
      <c r="J16" s="277">
        <f>ROUND(J10*'Attachment B1 (Last Mile)'!$G11*3,-2)</f>
        <v>0</v>
      </c>
      <c r="K16" s="277">
        <f>ROUND(K10*'Attachment B1 (Last Mile)'!$G11*3,-2)</f>
        <v>0</v>
      </c>
      <c r="L16" s="277">
        <f>ROUND(L10*'Attachment B1 (Last Mile)'!$G11*3,-2)</f>
        <v>0</v>
      </c>
      <c r="M16" s="277">
        <f>ROUND(M10*'Attachment B1 (Last Mile)'!$G11*3,-2)</f>
        <v>0</v>
      </c>
      <c r="N16" s="277">
        <f>ROUND(N10*'Attachment B1 (Last Mile)'!$G11*3,-2)</f>
        <v>0</v>
      </c>
      <c r="O16" s="277">
        <f>ROUND(O10*'Attachment B1 (Last Mile)'!$G11*3,-2)</f>
        <v>0</v>
      </c>
      <c r="P16" s="277">
        <f>ROUND(P10*'Attachment B1 (Last Mile)'!$G11*3,-2)</f>
        <v>0</v>
      </c>
      <c r="Q16" s="277">
        <f>ROUND(Q10*'Attachment B1 (Last Mile)'!$G11*3,-2)</f>
        <v>0</v>
      </c>
      <c r="R16" s="277">
        <f>ROUND(R10*'Attachment B1 (Last Mile)'!$G11*3,-2)</f>
        <v>0</v>
      </c>
      <c r="S16" s="277">
        <f>ROUND(S10*'Attachment B1 (Last Mile)'!$G11*3,-2)</f>
        <v>0</v>
      </c>
      <c r="T16" s="277">
        <f>ROUND(T10*'Attachment B1 (Last Mile)'!$G11*3,-2)</f>
        <v>0</v>
      </c>
      <c r="U16" s="277">
        <f>ROUND(U10*'Attachment B1 (Last Mile)'!$G11*3,-2)</f>
        <v>0</v>
      </c>
      <c r="V16" s="277">
        <f>ROUND(V10*'Attachment B1 (Last Mile)'!$G11*12,-2)</f>
        <v>0</v>
      </c>
      <c r="W16" s="277">
        <f>ROUND(W10*'Attachment B1 (Last Mile)'!$G11*12,-2)</f>
        <v>0</v>
      </c>
      <c r="X16" s="277">
        <f>ROUND(X10*'Attachment B1 (Last Mile)'!$G11*12,-2)</f>
        <v>0</v>
      </c>
      <c r="Y16" s="277">
        <f>ROUND(Y10*'Attachment B1 (Last Mile)'!$G11*12,-2)</f>
        <v>0</v>
      </c>
      <c r="Z16" s="277">
        <f>ROUND(Z10*'Attachment B1 (Last Mile)'!$G11*12,-2)</f>
        <v>0</v>
      </c>
    </row>
    <row r="17" spans="1:26">
      <c r="A17" s="172" t="s">
        <v>323</v>
      </c>
      <c r="B17" s="179">
        <f>SUM(B12:B16)</f>
        <v>0</v>
      </c>
      <c r="C17" s="179">
        <f t="shared" ref="C17:Z17" si="0">SUM(C12:C16)</f>
        <v>0</v>
      </c>
      <c r="D17" s="179">
        <f t="shared" si="0"/>
        <v>35100</v>
      </c>
      <c r="E17" s="179">
        <f t="shared" si="0"/>
        <v>70100</v>
      </c>
      <c r="F17" s="179">
        <f t="shared" si="0"/>
        <v>89300</v>
      </c>
      <c r="G17" s="179">
        <f t="shared" si="0"/>
        <v>108500</v>
      </c>
      <c r="H17" s="179">
        <f t="shared" si="0"/>
        <v>127800</v>
      </c>
      <c r="I17" s="179">
        <f t="shared" si="0"/>
        <v>146900</v>
      </c>
      <c r="J17" s="179">
        <f t="shared" si="0"/>
        <v>146900</v>
      </c>
      <c r="K17" s="179">
        <f t="shared" si="0"/>
        <v>146900</v>
      </c>
      <c r="L17" s="179">
        <f t="shared" si="0"/>
        <v>146900</v>
      </c>
      <c r="M17" s="179">
        <f t="shared" si="0"/>
        <v>146900</v>
      </c>
      <c r="N17" s="179">
        <f t="shared" si="0"/>
        <v>146900</v>
      </c>
      <c r="O17" s="179">
        <f t="shared" si="0"/>
        <v>146900</v>
      </c>
      <c r="P17" s="179">
        <f t="shared" si="0"/>
        <v>146900</v>
      </c>
      <c r="Q17" s="179">
        <f t="shared" si="0"/>
        <v>146900</v>
      </c>
      <c r="R17" s="179">
        <f t="shared" si="0"/>
        <v>146900</v>
      </c>
      <c r="S17" s="179">
        <f t="shared" si="0"/>
        <v>146900</v>
      </c>
      <c r="T17" s="179">
        <f t="shared" si="0"/>
        <v>146900</v>
      </c>
      <c r="U17" s="179">
        <f t="shared" si="0"/>
        <v>146900</v>
      </c>
      <c r="V17" s="179">
        <f t="shared" si="0"/>
        <v>587700</v>
      </c>
      <c r="W17" s="179">
        <f t="shared" si="0"/>
        <v>587700</v>
      </c>
      <c r="X17" s="179">
        <f t="shared" si="0"/>
        <v>587700</v>
      </c>
      <c r="Y17" s="179">
        <f t="shared" si="0"/>
        <v>587700</v>
      </c>
      <c r="Z17" s="179">
        <f t="shared" si="0"/>
        <v>587700</v>
      </c>
    </row>
    <row r="18" spans="1:26">
      <c r="E18" s="179"/>
      <c r="I18" s="179"/>
      <c r="M18" s="179"/>
      <c r="Q18" s="179"/>
      <c r="U18" s="179"/>
      <c r="Y18" s="179"/>
    </row>
    <row r="19" spans="1:26">
      <c r="A19" t="s">
        <v>324</v>
      </c>
    </row>
    <row r="20" spans="1:26">
      <c r="A20" s="172" t="str">
        <f>+'Attachment B1 (Last Mile)'!A14</f>
        <v>UC2B 20/20Internet CNS</v>
      </c>
      <c r="B20" s="166">
        <f>+'Attachment H3 (Business)'!D8</f>
        <v>0</v>
      </c>
      <c r="C20" s="166">
        <f>+'Attachment H3 (Business)'!E8</f>
        <v>0</v>
      </c>
      <c r="D20" s="166">
        <f>+'Attachment H3 (Business)'!F8</f>
        <v>25</v>
      </c>
      <c r="E20" s="166">
        <f>+'Attachment H3 (Business)'!G8</f>
        <v>5</v>
      </c>
      <c r="F20" s="166">
        <f>+'Attachment H3 (Business)'!H8</f>
        <v>18</v>
      </c>
      <c r="G20" s="166">
        <f>+'Attachment H3 (Business)'!I8</f>
        <v>31</v>
      </c>
      <c r="H20" s="166">
        <f>+'Attachment H3 (Business)'!J8</f>
        <v>44</v>
      </c>
      <c r="I20" s="166">
        <f>+'Attachment H3 (Business)'!K8</f>
        <v>57</v>
      </c>
      <c r="J20" s="166">
        <f>+'Attachment H3 (Business)'!L8</f>
        <v>57</v>
      </c>
      <c r="K20" s="166">
        <f>+'Attachment H3 (Business)'!M8</f>
        <v>57</v>
      </c>
      <c r="L20" s="166">
        <f>+'Attachment H3 (Business)'!N8</f>
        <v>57</v>
      </c>
      <c r="M20" s="166">
        <f>+'Attachment H3 (Business)'!O8</f>
        <v>57</v>
      </c>
      <c r="N20" s="166">
        <f>+'Attachment H3 (Business)'!P8</f>
        <v>57</v>
      </c>
      <c r="O20" s="166">
        <f>+'Attachment H3 (Business)'!Q8</f>
        <v>57</v>
      </c>
      <c r="P20" s="166">
        <f>+'Attachment H3 (Business)'!R8</f>
        <v>57</v>
      </c>
      <c r="Q20" s="166">
        <f>+'Attachment H3 (Business)'!S8</f>
        <v>57</v>
      </c>
      <c r="R20" s="166">
        <f>+'Attachment H3 (Business)'!T8</f>
        <v>57</v>
      </c>
      <c r="S20" s="166">
        <f>+'Attachment H3 (Business)'!U8</f>
        <v>57</v>
      </c>
      <c r="T20" s="166">
        <f>+'Attachment H3 (Business)'!V8</f>
        <v>57</v>
      </c>
      <c r="U20" s="166">
        <f>+'Attachment H3 (Business)'!W8</f>
        <v>57</v>
      </c>
      <c r="V20" s="166">
        <f>+'Attachment H3 (Business)'!X8</f>
        <v>57</v>
      </c>
      <c r="W20" s="166">
        <f>+'Attachment H3 (Business)'!Y8</f>
        <v>57</v>
      </c>
      <c r="X20" s="166">
        <f>+'Attachment H3 (Business)'!Z8</f>
        <v>57</v>
      </c>
      <c r="Y20" s="166">
        <f>+'Attachment H3 (Business)'!AA8</f>
        <v>57</v>
      </c>
      <c r="Z20" s="166">
        <f>+'Attachment H3 (Business)'!AB8</f>
        <v>57</v>
      </c>
    </row>
    <row r="21" spans="1:26">
      <c r="A21" s="172" t="str">
        <f>+'Attachment B1 (Last Mile)'!A15</f>
        <v>UC2B 40/40Internet CNS</v>
      </c>
      <c r="B21" s="166">
        <f>+'Attachment H3 (Business)'!D12</f>
        <v>0</v>
      </c>
      <c r="C21" s="166">
        <f>+'Attachment H3 (Business)'!E12</f>
        <v>0</v>
      </c>
      <c r="D21" s="166">
        <f>+'Attachment H3 (Business)'!F12</f>
        <v>13</v>
      </c>
      <c r="E21" s="166">
        <f>+'Attachment H3 (Business)'!G12</f>
        <v>26</v>
      </c>
      <c r="F21" s="166">
        <f>+'Attachment H3 (Business)'!H12</f>
        <v>33</v>
      </c>
      <c r="G21" s="166">
        <f>+'Attachment H3 (Business)'!I12</f>
        <v>40</v>
      </c>
      <c r="H21" s="166">
        <f>+'Attachment H3 (Business)'!J12</f>
        <v>47</v>
      </c>
      <c r="I21" s="166">
        <f>+'Attachment H3 (Business)'!K12</f>
        <v>54</v>
      </c>
      <c r="J21" s="166">
        <f>+'Attachment H3 (Business)'!L12</f>
        <v>54</v>
      </c>
      <c r="K21" s="166">
        <f>+'Attachment H3 (Business)'!M12</f>
        <v>54</v>
      </c>
      <c r="L21" s="166">
        <f>+'Attachment H3 (Business)'!N12</f>
        <v>54</v>
      </c>
      <c r="M21" s="166">
        <f>+'Attachment H3 (Business)'!O12</f>
        <v>54</v>
      </c>
      <c r="N21" s="166">
        <f>+'Attachment H3 (Business)'!P12</f>
        <v>54</v>
      </c>
      <c r="O21" s="166">
        <f>+'Attachment H3 (Business)'!Q12</f>
        <v>54</v>
      </c>
      <c r="P21" s="166">
        <f>+'Attachment H3 (Business)'!R12</f>
        <v>54</v>
      </c>
      <c r="Q21" s="166">
        <f>+'Attachment H3 (Business)'!S12</f>
        <v>54</v>
      </c>
      <c r="R21" s="166">
        <f>+'Attachment H3 (Business)'!T12</f>
        <v>54</v>
      </c>
      <c r="S21" s="166">
        <f>+'Attachment H3 (Business)'!U12</f>
        <v>54</v>
      </c>
      <c r="T21" s="166">
        <f>+'Attachment H3 (Business)'!V12</f>
        <v>54</v>
      </c>
      <c r="U21" s="166">
        <f>+'Attachment H3 (Business)'!W12</f>
        <v>54</v>
      </c>
      <c r="V21" s="166">
        <f>+'Attachment H3 (Business)'!X12</f>
        <v>54</v>
      </c>
      <c r="W21" s="166">
        <f>+'Attachment H3 (Business)'!Y12</f>
        <v>54</v>
      </c>
      <c r="X21" s="166">
        <f>+'Attachment H3 (Business)'!Z12</f>
        <v>54</v>
      </c>
      <c r="Y21" s="166">
        <f>+'Attachment H3 (Business)'!AA12</f>
        <v>54</v>
      </c>
      <c r="Z21" s="166">
        <f>+'Attachment H3 (Business)'!AB12</f>
        <v>54</v>
      </c>
    </row>
    <row r="22" spans="1:26">
      <c r="A22" s="172" t="str">
        <f>+'Attachment B1 (Last Mile)'!A16</f>
        <v>UC2B 60/60Internet CNS</v>
      </c>
      <c r="B22" s="166">
        <f>+'Attachment H3 (Business)'!D16</f>
        <v>0</v>
      </c>
      <c r="C22" s="166">
        <f>+'Attachment H3 (Business)'!E16</f>
        <v>0</v>
      </c>
      <c r="D22" s="166">
        <f>+'Attachment H3 (Business)'!F16</f>
        <v>1</v>
      </c>
      <c r="E22" s="166">
        <f>+'Attachment H3 (Business)'!G16</f>
        <v>2</v>
      </c>
      <c r="F22" s="166">
        <f>+'Attachment H3 (Business)'!H16</f>
        <v>3</v>
      </c>
      <c r="G22" s="166">
        <f>+'Attachment H3 (Business)'!I16</f>
        <v>4</v>
      </c>
      <c r="H22" s="166">
        <f>+'Attachment H3 (Business)'!J16</f>
        <v>5</v>
      </c>
      <c r="I22" s="166">
        <f>+'Attachment H3 (Business)'!K16</f>
        <v>6</v>
      </c>
      <c r="J22" s="166">
        <f>+'Attachment H3 (Business)'!L16</f>
        <v>6</v>
      </c>
      <c r="K22" s="166">
        <f>+'Attachment H3 (Business)'!M16</f>
        <v>6</v>
      </c>
      <c r="L22" s="166">
        <f>+'Attachment H3 (Business)'!N16</f>
        <v>6</v>
      </c>
      <c r="M22" s="166">
        <f>+'Attachment H3 (Business)'!O16</f>
        <v>6</v>
      </c>
      <c r="N22" s="166">
        <f>+'Attachment H3 (Business)'!P16</f>
        <v>6</v>
      </c>
      <c r="O22" s="166">
        <f>+'Attachment H3 (Business)'!Q16</f>
        <v>6</v>
      </c>
      <c r="P22" s="166">
        <f>+'Attachment H3 (Business)'!R16</f>
        <v>6</v>
      </c>
      <c r="Q22" s="166">
        <f>+'Attachment H3 (Business)'!S16</f>
        <v>6</v>
      </c>
      <c r="R22" s="166">
        <f>+'Attachment H3 (Business)'!T16</f>
        <v>6</v>
      </c>
      <c r="S22" s="166">
        <f>+'Attachment H3 (Business)'!U16</f>
        <v>6</v>
      </c>
      <c r="T22" s="166">
        <f>+'Attachment H3 (Business)'!V16</f>
        <v>6</v>
      </c>
      <c r="U22" s="166">
        <f>+'Attachment H3 (Business)'!W16</f>
        <v>6</v>
      </c>
      <c r="V22" s="166">
        <f>+'Attachment H3 (Business)'!X16</f>
        <v>6</v>
      </c>
      <c r="W22" s="166">
        <f>+'Attachment H3 (Business)'!Y16</f>
        <v>6</v>
      </c>
      <c r="X22" s="166">
        <f>+'Attachment H3 (Business)'!Z16</f>
        <v>6</v>
      </c>
      <c r="Y22" s="166">
        <f>+'Attachment H3 (Business)'!AA16</f>
        <v>6</v>
      </c>
      <c r="Z22" s="166">
        <f>+'Attachment H3 (Business)'!AB16</f>
        <v>6</v>
      </c>
    </row>
    <row r="23" spans="1:26">
      <c r="A23" s="172" t="str">
        <f>+'Attachment B1 (Last Mile)'!A17</f>
        <v>UC2B 80/80Internet CNS</v>
      </c>
      <c r="B23" s="166">
        <f>+'Attachment H3 (Business)'!D20</f>
        <v>0</v>
      </c>
      <c r="C23" s="166">
        <f>+'Attachment H3 (Business)'!E20</f>
        <v>0</v>
      </c>
      <c r="D23" s="166">
        <f>+'Attachment H3 (Business)'!F20</f>
        <v>1</v>
      </c>
      <c r="E23" s="166">
        <f>+'Attachment H3 (Business)'!G20</f>
        <v>2</v>
      </c>
      <c r="F23" s="166">
        <f>+'Attachment H3 (Business)'!H20</f>
        <v>3</v>
      </c>
      <c r="G23" s="166">
        <f>+'Attachment H3 (Business)'!I20</f>
        <v>4</v>
      </c>
      <c r="H23" s="166">
        <f>+'Attachment H3 (Business)'!J20</f>
        <v>5</v>
      </c>
      <c r="I23" s="166">
        <f>+'Attachment H3 (Business)'!K20</f>
        <v>6</v>
      </c>
      <c r="J23" s="166">
        <f>+'Attachment H3 (Business)'!L20</f>
        <v>6</v>
      </c>
      <c r="K23" s="166">
        <f>+'Attachment H3 (Business)'!M20</f>
        <v>6</v>
      </c>
      <c r="L23" s="166">
        <f>+'Attachment H3 (Business)'!N20</f>
        <v>6</v>
      </c>
      <c r="M23" s="166">
        <f>+'Attachment H3 (Business)'!O20</f>
        <v>6</v>
      </c>
      <c r="N23" s="166">
        <f>+'Attachment H3 (Business)'!P20</f>
        <v>6</v>
      </c>
      <c r="O23" s="166">
        <f>+'Attachment H3 (Business)'!Q20</f>
        <v>6</v>
      </c>
      <c r="P23" s="166">
        <f>+'Attachment H3 (Business)'!R20</f>
        <v>6</v>
      </c>
      <c r="Q23" s="166">
        <f>+'Attachment H3 (Business)'!S20</f>
        <v>6</v>
      </c>
      <c r="R23" s="166">
        <f>+'Attachment H3 (Business)'!T20</f>
        <v>6</v>
      </c>
      <c r="S23" s="166">
        <f>+'Attachment H3 (Business)'!U20</f>
        <v>6</v>
      </c>
      <c r="T23" s="166">
        <f>+'Attachment H3 (Business)'!V20</f>
        <v>6</v>
      </c>
      <c r="U23" s="166">
        <f>+'Attachment H3 (Business)'!W20</f>
        <v>6</v>
      </c>
      <c r="V23" s="166">
        <f>+'Attachment H3 (Business)'!X20</f>
        <v>6</v>
      </c>
      <c r="W23" s="166">
        <f>+'Attachment H3 (Business)'!Y20</f>
        <v>6</v>
      </c>
      <c r="X23" s="166">
        <f>+'Attachment H3 (Business)'!Z20</f>
        <v>6</v>
      </c>
      <c r="Y23" s="166">
        <f>+'Attachment H3 (Business)'!AA20</f>
        <v>6</v>
      </c>
      <c r="Z23" s="166">
        <f>+'Attachment H3 (Business)'!AB20</f>
        <v>6</v>
      </c>
    </row>
    <row r="24" spans="1:26">
      <c r="A24" s="172" t="str">
        <f>+'Attachment B1 (Last Mile)'!A18</f>
        <v>UC2B 100/100Internet CNS</v>
      </c>
      <c r="B24" s="166">
        <f>+'Attachment H3 (Business)'!D24</f>
        <v>0</v>
      </c>
      <c r="C24" s="166">
        <f>+'Attachment H3 (Business)'!E24</f>
        <v>0</v>
      </c>
      <c r="D24" s="166">
        <f>+'Attachment H3 (Business)'!F24</f>
        <v>0</v>
      </c>
      <c r="E24" s="166">
        <f>+'Attachment H3 (Business)'!G24</f>
        <v>0</v>
      </c>
      <c r="F24" s="166">
        <f>+'Attachment H3 (Business)'!H24</f>
        <v>0</v>
      </c>
      <c r="G24" s="166">
        <f>+'Attachment H3 (Business)'!I24</f>
        <v>0</v>
      </c>
      <c r="H24" s="166">
        <f>+'Attachment H3 (Business)'!J24</f>
        <v>0</v>
      </c>
      <c r="I24" s="166">
        <f>+'Attachment H3 (Business)'!K24</f>
        <v>0</v>
      </c>
      <c r="J24" s="166">
        <f>+'Attachment H3 (Business)'!L24</f>
        <v>0</v>
      </c>
      <c r="K24" s="166">
        <f>+'Attachment H3 (Business)'!M24</f>
        <v>0</v>
      </c>
      <c r="L24" s="166">
        <f>+'Attachment H3 (Business)'!N24</f>
        <v>0</v>
      </c>
      <c r="M24" s="166">
        <f>+'Attachment H3 (Business)'!O24</f>
        <v>0</v>
      </c>
      <c r="N24" s="166">
        <f>+'Attachment H3 (Business)'!P24</f>
        <v>0</v>
      </c>
      <c r="O24" s="166">
        <f>+'Attachment H3 (Business)'!Q24</f>
        <v>0</v>
      </c>
      <c r="P24" s="166">
        <f>+'Attachment H3 (Business)'!R24</f>
        <v>0</v>
      </c>
      <c r="Q24" s="166">
        <f>+'Attachment H3 (Business)'!S24</f>
        <v>0</v>
      </c>
      <c r="R24" s="166">
        <f>+'Attachment H3 (Business)'!T24</f>
        <v>0</v>
      </c>
      <c r="S24" s="166">
        <f>+'Attachment H3 (Business)'!U24</f>
        <v>0</v>
      </c>
      <c r="T24" s="166">
        <f>+'Attachment H3 (Business)'!V24</f>
        <v>0</v>
      </c>
      <c r="U24" s="166">
        <f>+'Attachment H3 (Business)'!W24</f>
        <v>0</v>
      </c>
      <c r="V24" s="166">
        <f>+'Attachment H3 (Business)'!X24</f>
        <v>0</v>
      </c>
      <c r="W24" s="166">
        <f>+'Attachment H3 (Business)'!Y24</f>
        <v>0</v>
      </c>
      <c r="X24" s="166">
        <f>+'Attachment H3 (Business)'!Z24</f>
        <v>0</v>
      </c>
      <c r="Y24" s="166">
        <f>+'Attachment H3 (Business)'!AA24</f>
        <v>0</v>
      </c>
      <c r="Z24" s="166">
        <f>+'Attachment H3 (Business)'!AB24</f>
        <v>0</v>
      </c>
    </row>
    <row r="25" spans="1:26">
      <c r="A25" s="172" t="str">
        <f>+'Attachment B1 (Last Mile)'!A19</f>
        <v>Private VLAN 10 Mbps</v>
      </c>
      <c r="B25" s="166">
        <f>+'Attachment H3 (Business)'!D28</f>
        <v>0</v>
      </c>
      <c r="C25" s="166">
        <f>+'Attachment H3 (Business)'!E28</f>
        <v>0</v>
      </c>
      <c r="D25" s="166">
        <f>+'Attachment H3 (Business)'!F28</f>
        <v>10</v>
      </c>
      <c r="E25" s="166">
        <f>+'Attachment H3 (Business)'!G28</f>
        <v>0</v>
      </c>
      <c r="F25" s="166">
        <f>+'Attachment H3 (Business)'!H28</f>
        <v>5</v>
      </c>
      <c r="G25" s="166">
        <f>+'Attachment H3 (Business)'!I28</f>
        <v>10</v>
      </c>
      <c r="H25" s="166">
        <f>+'Attachment H3 (Business)'!J28</f>
        <v>15</v>
      </c>
      <c r="I25" s="166">
        <f>+'Attachment H3 (Business)'!K28</f>
        <v>20</v>
      </c>
      <c r="J25" s="166">
        <f>+'Attachment H3 (Business)'!L28</f>
        <v>20</v>
      </c>
      <c r="K25" s="166">
        <f>+'Attachment H3 (Business)'!M28</f>
        <v>20</v>
      </c>
      <c r="L25" s="166">
        <f>+'Attachment H3 (Business)'!N28</f>
        <v>20</v>
      </c>
      <c r="M25" s="166">
        <f>+'Attachment H3 (Business)'!O28</f>
        <v>20</v>
      </c>
      <c r="N25" s="166">
        <f>+'Attachment H3 (Business)'!P28</f>
        <v>20</v>
      </c>
      <c r="O25" s="166">
        <f>+'Attachment H3 (Business)'!Q28</f>
        <v>20</v>
      </c>
      <c r="P25" s="166">
        <f>+'Attachment H3 (Business)'!R28</f>
        <v>20</v>
      </c>
      <c r="Q25" s="166">
        <f>+'Attachment H3 (Business)'!S28</f>
        <v>20</v>
      </c>
      <c r="R25" s="166">
        <f>+'Attachment H3 (Business)'!T28</f>
        <v>20</v>
      </c>
      <c r="S25" s="166">
        <f>+'Attachment H3 (Business)'!U28</f>
        <v>20</v>
      </c>
      <c r="T25" s="166">
        <f>+'Attachment H3 (Business)'!V28</f>
        <v>20</v>
      </c>
      <c r="U25" s="166">
        <f>+'Attachment H3 (Business)'!W28</f>
        <v>20</v>
      </c>
      <c r="V25" s="166">
        <f>+'Attachment H3 (Business)'!X28</f>
        <v>20</v>
      </c>
      <c r="W25" s="166">
        <f>+'Attachment H3 (Business)'!Y28</f>
        <v>20</v>
      </c>
      <c r="X25" s="166">
        <f>+'Attachment H3 (Business)'!Z28</f>
        <v>20</v>
      </c>
      <c r="Y25" s="166">
        <f>+'Attachment H3 (Business)'!AA28</f>
        <v>20</v>
      </c>
      <c r="Z25" s="166">
        <f>+'Attachment H3 (Business)'!AB28</f>
        <v>20</v>
      </c>
    </row>
    <row r="26" spans="1:26">
      <c r="A26" s="172" t="str">
        <f>+'Attachment B1 (Last Mile)'!A20</f>
        <v>Private VLAN 100 Mbps</v>
      </c>
      <c r="B26" s="166">
        <f>+'Attachment H3 (Business)'!D32</f>
        <v>0</v>
      </c>
      <c r="C26" s="166">
        <f>+'Attachment H3 (Business)'!E32</f>
        <v>0</v>
      </c>
      <c r="D26" s="166">
        <f>+'Attachment H3 (Business)'!F32</f>
        <v>2</v>
      </c>
      <c r="E26" s="166">
        <f>+'Attachment H3 (Business)'!G32</f>
        <v>0</v>
      </c>
      <c r="F26" s="166">
        <f>+'Attachment H3 (Business)'!H32</f>
        <v>1</v>
      </c>
      <c r="G26" s="166">
        <f>+'Attachment H3 (Business)'!I32</f>
        <v>2</v>
      </c>
      <c r="H26" s="166">
        <f>+'Attachment H3 (Business)'!J32</f>
        <v>3</v>
      </c>
      <c r="I26" s="166">
        <f>+'Attachment H3 (Business)'!K32</f>
        <v>4</v>
      </c>
      <c r="J26" s="166">
        <f>+'Attachment H3 (Business)'!L32</f>
        <v>4</v>
      </c>
      <c r="K26" s="166">
        <f>+'Attachment H3 (Business)'!M32</f>
        <v>4</v>
      </c>
      <c r="L26" s="166">
        <f>+'Attachment H3 (Business)'!N32</f>
        <v>4</v>
      </c>
      <c r="M26" s="166">
        <f>+'Attachment H3 (Business)'!O32</f>
        <v>4</v>
      </c>
      <c r="N26" s="166">
        <f>+'Attachment H3 (Business)'!P32</f>
        <v>4</v>
      </c>
      <c r="O26" s="166">
        <f>+'Attachment H3 (Business)'!Q32</f>
        <v>4</v>
      </c>
      <c r="P26" s="166">
        <f>+'Attachment H3 (Business)'!R32</f>
        <v>4</v>
      </c>
      <c r="Q26" s="166">
        <f>+'Attachment H3 (Business)'!S32</f>
        <v>4</v>
      </c>
      <c r="R26" s="166">
        <f>+'Attachment H3 (Business)'!T32</f>
        <v>4</v>
      </c>
      <c r="S26" s="166">
        <f>+'Attachment H3 (Business)'!U32</f>
        <v>4</v>
      </c>
      <c r="T26" s="166">
        <f>+'Attachment H3 (Business)'!V32</f>
        <v>4</v>
      </c>
      <c r="U26" s="166">
        <f>+'Attachment H3 (Business)'!W32</f>
        <v>4</v>
      </c>
      <c r="V26" s="166">
        <f>+'Attachment H3 (Business)'!X32</f>
        <v>4</v>
      </c>
      <c r="W26" s="166">
        <f>+'Attachment H3 (Business)'!Y32</f>
        <v>4</v>
      </c>
      <c r="X26" s="166">
        <f>+'Attachment H3 (Business)'!Z32</f>
        <v>4</v>
      </c>
      <c r="Y26" s="166">
        <f>+'Attachment H3 (Business)'!AA32</f>
        <v>4</v>
      </c>
      <c r="Z26" s="166">
        <f>+'Attachment H3 (Business)'!AB32</f>
        <v>4</v>
      </c>
    </row>
    <row r="27" spans="1:26">
      <c r="A27" s="172" t="str">
        <f>+'Attachment B1 (Last Mile)'!A21</f>
        <v>Private VLAN 1 Gbps</v>
      </c>
      <c r="B27" s="166">
        <f>+'Attachment H3 (Business)'!D36</f>
        <v>0</v>
      </c>
      <c r="C27" s="166">
        <f>+'Attachment H3 (Business)'!E36</f>
        <v>0</v>
      </c>
      <c r="D27" s="166">
        <f>+'Attachment H3 (Business)'!F36</f>
        <v>0</v>
      </c>
      <c r="E27" s="166">
        <f>+'Attachment H3 (Business)'!G36</f>
        <v>0</v>
      </c>
      <c r="F27" s="166">
        <f>+'Attachment H3 (Business)'!H36</f>
        <v>0</v>
      </c>
      <c r="G27" s="166">
        <f>+'Attachment H3 (Business)'!I36</f>
        <v>0</v>
      </c>
      <c r="H27" s="166">
        <f>+'Attachment H3 (Business)'!J36</f>
        <v>0</v>
      </c>
      <c r="I27" s="166">
        <f>+'Attachment H3 (Business)'!K36</f>
        <v>0</v>
      </c>
      <c r="J27" s="166">
        <f>+'Attachment H3 (Business)'!L36</f>
        <v>0</v>
      </c>
      <c r="K27" s="166">
        <f>+'Attachment H3 (Business)'!M36</f>
        <v>0</v>
      </c>
      <c r="L27" s="166">
        <f>+'Attachment H3 (Business)'!N36</f>
        <v>0</v>
      </c>
      <c r="M27" s="166">
        <f>+'Attachment H3 (Business)'!O36</f>
        <v>0</v>
      </c>
      <c r="N27" s="166">
        <f>+'Attachment H3 (Business)'!P36</f>
        <v>0</v>
      </c>
      <c r="O27" s="166">
        <f>+'Attachment H3 (Business)'!Q36</f>
        <v>0</v>
      </c>
      <c r="P27" s="166">
        <f>+'Attachment H3 (Business)'!R36</f>
        <v>0</v>
      </c>
      <c r="Q27" s="166">
        <f>+'Attachment H3 (Business)'!S36</f>
        <v>0</v>
      </c>
      <c r="R27" s="166">
        <f>+'Attachment H3 (Business)'!T36</f>
        <v>0</v>
      </c>
      <c r="S27" s="166">
        <f>+'Attachment H3 (Business)'!U36</f>
        <v>0</v>
      </c>
      <c r="T27" s="166">
        <f>+'Attachment H3 (Business)'!V36</f>
        <v>0</v>
      </c>
      <c r="U27" s="166">
        <f>+'Attachment H3 (Business)'!W36</f>
        <v>0</v>
      </c>
      <c r="V27" s="166">
        <f>+'Attachment H3 (Business)'!X36</f>
        <v>0</v>
      </c>
      <c r="W27" s="166">
        <f>+'Attachment H3 (Business)'!Y36</f>
        <v>0</v>
      </c>
      <c r="X27" s="166">
        <f>+'Attachment H3 (Business)'!Z36</f>
        <v>0</v>
      </c>
      <c r="Y27" s="166">
        <f>+'Attachment H3 (Business)'!AA36</f>
        <v>0</v>
      </c>
      <c r="Z27" s="166">
        <f>+'Attachment H3 (Business)'!AB36</f>
        <v>0</v>
      </c>
    </row>
    <row r="28" spans="1:26">
      <c r="A28" t="s">
        <v>325</v>
      </c>
    </row>
    <row r="29" spans="1:26">
      <c r="A29" s="172" t="str">
        <f>+A20</f>
        <v>UC2B 20/20Internet CNS</v>
      </c>
      <c r="B29" s="179">
        <f>ROUND(B20*'Attachment B1 (Last Mile)'!$G14*3,-2)</f>
        <v>0</v>
      </c>
      <c r="C29" s="179">
        <f>ROUND(C20*'Attachment B1 (Last Mile)'!$G14*3,-2)</f>
        <v>0</v>
      </c>
      <c r="D29" s="179">
        <f>ROUND(D20*'Attachment B1 (Last Mile)'!$G14*3,-2)</f>
        <v>8600</v>
      </c>
      <c r="E29" s="179">
        <f>ROUND(E20*'Attachment B1 (Last Mile)'!$G14*3,-2)</f>
        <v>1700</v>
      </c>
      <c r="F29" s="179">
        <f>ROUND(F20*'Attachment B1 (Last Mile)'!$G14*3,-2)</f>
        <v>6200</v>
      </c>
      <c r="G29" s="179">
        <f>ROUND(G20*'Attachment B1 (Last Mile)'!$G14*3,-2)</f>
        <v>10700</v>
      </c>
      <c r="H29" s="179">
        <f>ROUND(H20*'Attachment B1 (Last Mile)'!$G14*3,-2)</f>
        <v>15200</v>
      </c>
      <c r="I29" s="179">
        <f>ROUND(I20*'Attachment B1 (Last Mile)'!$G14*3,-2)</f>
        <v>19600</v>
      </c>
      <c r="J29" s="179">
        <f>ROUND(J20*'Attachment B1 (Last Mile)'!$G14*3,-2)</f>
        <v>19600</v>
      </c>
      <c r="K29" s="179">
        <f>ROUND(K20*'Attachment B1 (Last Mile)'!$G14*3,-2)</f>
        <v>19600</v>
      </c>
      <c r="L29" s="179">
        <f>ROUND(L20*'Attachment B1 (Last Mile)'!$G14*3,-2)</f>
        <v>19600</v>
      </c>
      <c r="M29" s="179">
        <f>ROUND(M20*'Attachment B1 (Last Mile)'!$G14*3,-2)</f>
        <v>19600</v>
      </c>
      <c r="N29" s="179">
        <f>ROUND(N20*'Attachment B1 (Last Mile)'!$G14*3,-2)</f>
        <v>19600</v>
      </c>
      <c r="O29" s="179">
        <f>ROUND(O20*'Attachment B1 (Last Mile)'!$G14*3,-2)</f>
        <v>19600</v>
      </c>
      <c r="P29" s="179">
        <f>ROUND(P20*'Attachment B1 (Last Mile)'!$G14*3,-2)</f>
        <v>19600</v>
      </c>
      <c r="Q29" s="179">
        <f>ROUND(Q20*'Attachment B1 (Last Mile)'!$G14*3,-2)</f>
        <v>19600</v>
      </c>
      <c r="R29" s="179">
        <f>ROUND(R20*'Attachment B1 (Last Mile)'!$G14*3,-2)</f>
        <v>19600</v>
      </c>
      <c r="S29" s="179">
        <f>ROUND(S20*'Attachment B1 (Last Mile)'!$G14*3,-2)</f>
        <v>19600</v>
      </c>
      <c r="T29" s="179">
        <f>ROUND(T20*'Attachment B1 (Last Mile)'!$G14*3,-2)</f>
        <v>19600</v>
      </c>
      <c r="U29" s="179">
        <f>ROUND(U20*'Attachment B1 (Last Mile)'!$G14*3,-2)</f>
        <v>19600</v>
      </c>
      <c r="V29" s="179">
        <f>ROUND(V20*'Attachment B1 (Last Mile)'!$G14*12,-2)</f>
        <v>78500</v>
      </c>
      <c r="W29" s="179">
        <f>ROUND(W20*'Attachment B1 (Last Mile)'!$G14*12,-2)</f>
        <v>78500</v>
      </c>
      <c r="X29" s="179">
        <f>ROUND(X20*'Attachment B1 (Last Mile)'!$G14*12,-2)</f>
        <v>78500</v>
      </c>
      <c r="Y29" s="179">
        <f>ROUND(Y20*'Attachment B1 (Last Mile)'!$G14*12,-2)</f>
        <v>78500</v>
      </c>
      <c r="Z29" s="179">
        <f>ROUND(Z20*'Attachment B1 (Last Mile)'!$G14*12,-2)</f>
        <v>78500</v>
      </c>
    </row>
    <row r="30" spans="1:26">
      <c r="A30" s="172" t="str">
        <f t="shared" ref="A30:A35" si="1">+A21</f>
        <v>UC2B 40/40Internet CNS</v>
      </c>
      <c r="B30" s="166">
        <f>ROUND(B21*'Attachment B1 (Last Mile)'!$G15*3,-2)</f>
        <v>0</v>
      </c>
      <c r="C30" s="166">
        <f>ROUND(C21*'Attachment B1 (Last Mile)'!$G15*3,-2)</f>
        <v>0</v>
      </c>
      <c r="D30" s="166">
        <f>ROUND(D21*'Attachment B1 (Last Mile)'!$G15*3,-2)</f>
        <v>8300</v>
      </c>
      <c r="E30" s="166">
        <f>ROUND(E21*'Attachment B1 (Last Mile)'!$G15*3,-2)</f>
        <v>16700</v>
      </c>
      <c r="F30" s="166">
        <f>ROUND(F21*'Attachment B1 (Last Mile)'!$G15*3,-2)</f>
        <v>21200</v>
      </c>
      <c r="G30" s="166">
        <f>ROUND(G21*'Attachment B1 (Last Mile)'!$G15*3,-2)</f>
        <v>25700</v>
      </c>
      <c r="H30" s="166">
        <f>ROUND(H21*'Attachment B1 (Last Mile)'!$G15*3,-2)</f>
        <v>30100</v>
      </c>
      <c r="I30" s="166">
        <f>ROUND(I21*'Attachment B1 (Last Mile)'!$G15*3,-2)</f>
        <v>34600</v>
      </c>
      <c r="J30" s="166">
        <f>ROUND(J21*'Attachment B1 (Last Mile)'!$G15*3,-2)</f>
        <v>34600</v>
      </c>
      <c r="K30" s="166">
        <f>ROUND(K21*'Attachment B1 (Last Mile)'!$G15*3,-2)</f>
        <v>34600</v>
      </c>
      <c r="L30" s="166">
        <f>ROUND(L21*'Attachment B1 (Last Mile)'!$G15*3,-2)</f>
        <v>34600</v>
      </c>
      <c r="M30" s="166">
        <f>ROUND(M21*'Attachment B1 (Last Mile)'!$G15*3,-2)</f>
        <v>34600</v>
      </c>
      <c r="N30" s="166">
        <f>ROUND(N21*'Attachment B1 (Last Mile)'!$G15*3,-2)</f>
        <v>34600</v>
      </c>
      <c r="O30" s="166">
        <f>ROUND(O21*'Attachment B1 (Last Mile)'!$G15*3,-2)</f>
        <v>34600</v>
      </c>
      <c r="P30" s="166">
        <f>ROUND(P21*'Attachment B1 (Last Mile)'!$G15*3,-2)</f>
        <v>34600</v>
      </c>
      <c r="Q30" s="166">
        <f>ROUND(Q21*'Attachment B1 (Last Mile)'!$G15*3,-2)</f>
        <v>34600</v>
      </c>
      <c r="R30" s="166">
        <f>ROUND(R21*'Attachment B1 (Last Mile)'!$G15*3,-2)</f>
        <v>34600</v>
      </c>
      <c r="S30" s="166">
        <f>ROUND(S21*'Attachment B1 (Last Mile)'!$G15*3,-2)</f>
        <v>34600</v>
      </c>
      <c r="T30" s="166">
        <f>ROUND(T21*'Attachment B1 (Last Mile)'!$G15*3,-2)</f>
        <v>34600</v>
      </c>
      <c r="U30" s="166">
        <f>ROUND(U21*'Attachment B1 (Last Mile)'!$G15*3,-2)</f>
        <v>34600</v>
      </c>
      <c r="V30" s="166">
        <f>ROUND(V21*'Attachment B1 (Last Mile)'!$G15*12,-2)</f>
        <v>138500</v>
      </c>
      <c r="W30" s="166">
        <f>ROUND(W21*'Attachment B1 (Last Mile)'!$G15*12,-2)</f>
        <v>138500</v>
      </c>
      <c r="X30" s="166">
        <f>ROUND(X21*'Attachment B1 (Last Mile)'!$G15*12,-2)</f>
        <v>138500</v>
      </c>
      <c r="Y30" s="166">
        <f>ROUND(Y21*'Attachment B1 (Last Mile)'!$G15*12,-2)</f>
        <v>138500</v>
      </c>
      <c r="Z30" s="166">
        <f>ROUND(Z21*'Attachment B1 (Last Mile)'!$G15*12,-2)</f>
        <v>138500</v>
      </c>
    </row>
    <row r="31" spans="1:26">
      <c r="A31" s="172" t="str">
        <f t="shared" si="1"/>
        <v>UC2B 60/60Internet CNS</v>
      </c>
      <c r="B31" s="166">
        <f>ROUND(B22*'Attachment B1 (Last Mile)'!$G16*3,-2)</f>
        <v>0</v>
      </c>
      <c r="C31" s="166">
        <f>ROUND(C22*'Attachment B1 (Last Mile)'!$G16*3,-2)</f>
        <v>0</v>
      </c>
      <c r="D31" s="166">
        <f>ROUND(D22*'Attachment B1 (Last Mile)'!$G16*3,-2)</f>
        <v>900</v>
      </c>
      <c r="E31" s="166">
        <f>ROUND(E22*'Attachment B1 (Last Mile)'!$G16*3,-2)</f>
        <v>1900</v>
      </c>
      <c r="F31" s="166">
        <f>ROUND(F22*'Attachment B1 (Last Mile)'!$G16*3,-2)</f>
        <v>2800</v>
      </c>
      <c r="G31" s="166">
        <f>ROUND(G22*'Attachment B1 (Last Mile)'!$G16*3,-2)</f>
        <v>3800</v>
      </c>
      <c r="H31" s="166">
        <f>ROUND(H22*'Attachment B1 (Last Mile)'!$G16*3,-2)</f>
        <v>4700</v>
      </c>
      <c r="I31" s="166">
        <f>ROUND(I22*'Attachment B1 (Last Mile)'!$G16*3,-2)</f>
        <v>5600</v>
      </c>
      <c r="J31" s="166">
        <f>ROUND(J22*'Attachment B1 (Last Mile)'!$G16*3,-2)</f>
        <v>5600</v>
      </c>
      <c r="K31" s="166">
        <f>ROUND(K22*'Attachment B1 (Last Mile)'!$G16*3,-2)</f>
        <v>5600</v>
      </c>
      <c r="L31" s="166">
        <f>ROUND(L22*'Attachment B1 (Last Mile)'!$G16*3,-2)</f>
        <v>5600</v>
      </c>
      <c r="M31" s="166">
        <f>ROUND(M22*'Attachment B1 (Last Mile)'!$G16*3,-2)</f>
        <v>5600</v>
      </c>
      <c r="N31" s="166">
        <f>ROUND(N22*'Attachment B1 (Last Mile)'!$G16*3,-2)</f>
        <v>5600</v>
      </c>
      <c r="O31" s="166">
        <f>ROUND(O22*'Attachment B1 (Last Mile)'!$G16*3,-2)</f>
        <v>5600</v>
      </c>
      <c r="P31" s="166">
        <f>ROUND(P22*'Attachment B1 (Last Mile)'!$G16*3,-2)</f>
        <v>5600</v>
      </c>
      <c r="Q31" s="166">
        <f>ROUND(Q22*'Attachment B1 (Last Mile)'!$G16*3,-2)</f>
        <v>5600</v>
      </c>
      <c r="R31" s="166">
        <f>ROUND(R22*'Attachment B1 (Last Mile)'!$G16*3,-2)</f>
        <v>5600</v>
      </c>
      <c r="S31" s="166">
        <f>ROUND(S22*'Attachment B1 (Last Mile)'!$G16*3,-2)</f>
        <v>5600</v>
      </c>
      <c r="T31" s="166">
        <f>ROUND(T22*'Attachment B1 (Last Mile)'!$G16*3,-2)</f>
        <v>5600</v>
      </c>
      <c r="U31" s="166">
        <f>ROUND(U22*'Attachment B1 (Last Mile)'!$G16*3,-2)</f>
        <v>5600</v>
      </c>
      <c r="V31" s="166">
        <f>ROUND(V22*'Attachment B1 (Last Mile)'!$G16*12,-2)</f>
        <v>22500</v>
      </c>
      <c r="W31" s="166">
        <f>ROUND(W22*'Attachment B1 (Last Mile)'!$G16*12,-2)</f>
        <v>22500</v>
      </c>
      <c r="X31" s="166">
        <f>ROUND(X22*'Attachment B1 (Last Mile)'!$G16*12,-2)</f>
        <v>22500</v>
      </c>
      <c r="Y31" s="166">
        <f>ROUND(Y22*'Attachment B1 (Last Mile)'!$G16*12,-2)</f>
        <v>22500</v>
      </c>
      <c r="Z31" s="166">
        <f>ROUND(Z22*'Attachment B1 (Last Mile)'!$G16*12,-2)</f>
        <v>22500</v>
      </c>
    </row>
    <row r="32" spans="1:26">
      <c r="A32" s="172" t="str">
        <f t="shared" si="1"/>
        <v>UC2B 80/80Internet CNS</v>
      </c>
      <c r="B32" s="166">
        <f>ROUND(B23*'Attachment B1 (Last Mile)'!$G17*3,-2)</f>
        <v>0</v>
      </c>
      <c r="C32" s="166">
        <f>ROUND(C23*'Attachment B1 (Last Mile)'!$G17*3,-2)</f>
        <v>0</v>
      </c>
      <c r="D32" s="166">
        <f>ROUND(D23*'Attachment B1 (Last Mile)'!$G17*3,-2)</f>
        <v>1200</v>
      </c>
      <c r="E32" s="166">
        <f>ROUND(E23*'Attachment B1 (Last Mile)'!$G17*3,-2)</f>
        <v>2500</v>
      </c>
      <c r="F32" s="166">
        <f>ROUND(F23*'Attachment B1 (Last Mile)'!$G17*3,-2)</f>
        <v>3700</v>
      </c>
      <c r="G32" s="166">
        <f>ROUND(G23*'Attachment B1 (Last Mile)'!$G17*3,-2)</f>
        <v>4900</v>
      </c>
      <c r="H32" s="166">
        <f>ROUND(H23*'Attachment B1 (Last Mile)'!$G17*3,-2)</f>
        <v>6200</v>
      </c>
      <c r="I32" s="166">
        <f>ROUND(I23*'Attachment B1 (Last Mile)'!$G17*3,-2)</f>
        <v>7400</v>
      </c>
      <c r="J32" s="166">
        <f>ROUND(J23*'Attachment B1 (Last Mile)'!$G17*3,-2)</f>
        <v>7400</v>
      </c>
      <c r="K32" s="166">
        <f>ROUND(K23*'Attachment B1 (Last Mile)'!$G17*3,-2)</f>
        <v>7400</v>
      </c>
      <c r="L32" s="166">
        <f>ROUND(L23*'Attachment B1 (Last Mile)'!$G17*3,-2)</f>
        <v>7400</v>
      </c>
      <c r="M32" s="166">
        <f>ROUND(M23*'Attachment B1 (Last Mile)'!$G17*3,-2)</f>
        <v>7400</v>
      </c>
      <c r="N32" s="166">
        <f>ROUND(N23*'Attachment B1 (Last Mile)'!$G17*3,-2)</f>
        <v>7400</v>
      </c>
      <c r="O32" s="166">
        <f>ROUND(O23*'Attachment B1 (Last Mile)'!$G17*3,-2)</f>
        <v>7400</v>
      </c>
      <c r="P32" s="166">
        <f>ROUND(P23*'Attachment B1 (Last Mile)'!$G17*3,-2)</f>
        <v>7400</v>
      </c>
      <c r="Q32" s="166">
        <f>ROUND(Q23*'Attachment B1 (Last Mile)'!$G17*3,-2)</f>
        <v>7400</v>
      </c>
      <c r="R32" s="166">
        <f>ROUND(R23*'Attachment B1 (Last Mile)'!$G17*3,-2)</f>
        <v>7400</v>
      </c>
      <c r="S32" s="166">
        <f>ROUND(S23*'Attachment B1 (Last Mile)'!$G17*3,-2)</f>
        <v>7400</v>
      </c>
      <c r="T32" s="166">
        <f>ROUND(T23*'Attachment B1 (Last Mile)'!$G17*3,-2)</f>
        <v>7400</v>
      </c>
      <c r="U32" s="166">
        <f>ROUND(U23*'Attachment B1 (Last Mile)'!$G17*3,-2)</f>
        <v>7400</v>
      </c>
      <c r="V32" s="166">
        <f>ROUND(V23*'Attachment B1 (Last Mile)'!$G17*12,-2)</f>
        <v>29600</v>
      </c>
      <c r="W32" s="166">
        <f>ROUND(W23*'Attachment B1 (Last Mile)'!$G17*12,-2)</f>
        <v>29600</v>
      </c>
      <c r="X32" s="166">
        <f>ROUND(X23*'Attachment B1 (Last Mile)'!$G17*12,-2)</f>
        <v>29600</v>
      </c>
      <c r="Y32" s="166">
        <f>ROUND(Y23*'Attachment B1 (Last Mile)'!$G17*12,-2)</f>
        <v>29600</v>
      </c>
      <c r="Z32" s="166">
        <f>ROUND(Z23*'Attachment B1 (Last Mile)'!$G17*12,-2)</f>
        <v>29600</v>
      </c>
    </row>
    <row r="33" spans="1:26">
      <c r="A33" s="172" t="str">
        <f t="shared" si="1"/>
        <v>UC2B 100/100Internet CNS</v>
      </c>
      <c r="B33" s="166">
        <f>ROUND(B24*'Attachment B1 (Last Mile)'!$G18*3,-2)</f>
        <v>0</v>
      </c>
      <c r="C33" s="166">
        <f>ROUND(C24*'Attachment B1 (Last Mile)'!$G18*3,-2)</f>
        <v>0</v>
      </c>
      <c r="D33" s="166">
        <f>ROUND(D24*'Attachment B1 (Last Mile)'!$G18*3,-2)</f>
        <v>0</v>
      </c>
      <c r="E33" s="166">
        <f>ROUND(E24*'Attachment B1 (Last Mile)'!$G18*3,-2)</f>
        <v>0</v>
      </c>
      <c r="F33" s="166">
        <f>ROUND(F24*'Attachment B1 (Last Mile)'!$G18*3,-2)</f>
        <v>0</v>
      </c>
      <c r="G33" s="166">
        <f>ROUND(G24*'Attachment B1 (Last Mile)'!$G18*3,-2)</f>
        <v>0</v>
      </c>
      <c r="H33" s="166">
        <f>ROUND(H24*'Attachment B1 (Last Mile)'!$G18*3,-2)</f>
        <v>0</v>
      </c>
      <c r="I33" s="166">
        <f>ROUND(I24*'Attachment B1 (Last Mile)'!$G18*3,-2)</f>
        <v>0</v>
      </c>
      <c r="J33" s="166">
        <f>ROUND(J24*'Attachment B1 (Last Mile)'!$G18*3,-2)</f>
        <v>0</v>
      </c>
      <c r="K33" s="166">
        <f>ROUND(K24*'Attachment B1 (Last Mile)'!$G18*3,-2)</f>
        <v>0</v>
      </c>
      <c r="L33" s="166">
        <f>ROUND(L24*'Attachment B1 (Last Mile)'!$G18*3,-2)</f>
        <v>0</v>
      </c>
      <c r="M33" s="166">
        <f>ROUND(M24*'Attachment B1 (Last Mile)'!$G18*3,-2)</f>
        <v>0</v>
      </c>
      <c r="N33" s="166">
        <f>ROUND(N24*'Attachment B1 (Last Mile)'!$G18*3,-2)</f>
        <v>0</v>
      </c>
      <c r="O33" s="166">
        <f>ROUND(O24*'Attachment B1 (Last Mile)'!$G18*3,-2)</f>
        <v>0</v>
      </c>
      <c r="P33" s="166">
        <f>ROUND(P24*'Attachment B1 (Last Mile)'!$G18*3,-2)</f>
        <v>0</v>
      </c>
      <c r="Q33" s="166">
        <f>ROUND(Q24*'Attachment B1 (Last Mile)'!$G18*3,-2)</f>
        <v>0</v>
      </c>
      <c r="R33" s="166">
        <f>ROUND(R24*'Attachment B1 (Last Mile)'!$G18*3,-2)</f>
        <v>0</v>
      </c>
      <c r="S33" s="166">
        <f>ROUND(S24*'Attachment B1 (Last Mile)'!$G18*3,-2)</f>
        <v>0</v>
      </c>
      <c r="T33" s="166">
        <f>ROUND(T24*'Attachment B1 (Last Mile)'!$G18*3,-2)</f>
        <v>0</v>
      </c>
      <c r="U33" s="166">
        <f>ROUND(U24*'Attachment B1 (Last Mile)'!$G18*3,-2)</f>
        <v>0</v>
      </c>
      <c r="V33" s="166">
        <f>ROUND(V24*'Attachment B1 (Last Mile)'!$G18*12,-2)</f>
        <v>0</v>
      </c>
      <c r="W33" s="166">
        <f>ROUND(W24*'Attachment B1 (Last Mile)'!$G18*12,-2)</f>
        <v>0</v>
      </c>
      <c r="X33" s="166">
        <f>ROUND(X24*'Attachment B1 (Last Mile)'!$G18*12,-2)</f>
        <v>0</v>
      </c>
      <c r="Y33" s="166">
        <f>ROUND(Y24*'Attachment B1 (Last Mile)'!$G18*12,-2)</f>
        <v>0</v>
      </c>
      <c r="Z33" s="166">
        <f>ROUND(Z24*'Attachment B1 (Last Mile)'!$G18*12,-2)</f>
        <v>0</v>
      </c>
    </row>
    <row r="34" spans="1:26">
      <c r="A34" s="172" t="str">
        <f t="shared" si="1"/>
        <v>Private VLAN 10 Mbps</v>
      </c>
      <c r="B34" s="166">
        <f>ROUND(B25*'Attachment B1 (Last Mile)'!$G19*3,-2)</f>
        <v>0</v>
      </c>
      <c r="C34" s="166">
        <f>ROUND(C25*'Attachment B1 (Last Mile)'!$G19*3,-2)</f>
        <v>0</v>
      </c>
      <c r="D34" s="166">
        <f>ROUND(D25*'Attachment B1 (Last Mile)'!$G19*3,-2)</f>
        <v>3000</v>
      </c>
      <c r="E34" s="166">
        <f>ROUND(E25*'Attachment B1 (Last Mile)'!$G19*3,-2)</f>
        <v>0</v>
      </c>
      <c r="F34" s="166">
        <f>ROUND(F25*'Attachment B1 (Last Mile)'!$G19*3,-2)</f>
        <v>1500</v>
      </c>
      <c r="G34" s="166">
        <f>ROUND(G25*'Attachment B1 (Last Mile)'!$G19*3,-2)</f>
        <v>3000</v>
      </c>
      <c r="H34" s="166">
        <f>ROUND(H25*'Attachment B1 (Last Mile)'!$G19*3,-2)</f>
        <v>4500</v>
      </c>
      <c r="I34" s="166">
        <f>ROUND(I25*'Attachment B1 (Last Mile)'!$G19*3,-2)</f>
        <v>6000</v>
      </c>
      <c r="J34" s="166">
        <f>ROUND(J25*'Attachment B1 (Last Mile)'!$G19*3,-2)</f>
        <v>6000</v>
      </c>
      <c r="K34" s="166">
        <f>ROUND(K25*'Attachment B1 (Last Mile)'!$G19*3,-2)</f>
        <v>6000</v>
      </c>
      <c r="L34" s="166">
        <f>ROUND(L25*'Attachment B1 (Last Mile)'!$G19*3,-2)</f>
        <v>6000</v>
      </c>
      <c r="M34" s="166">
        <f>ROUND(M25*'Attachment B1 (Last Mile)'!$G19*3,-2)</f>
        <v>6000</v>
      </c>
      <c r="N34" s="166">
        <f>ROUND(N25*'Attachment B1 (Last Mile)'!$G19*3,-2)</f>
        <v>6000</v>
      </c>
      <c r="O34" s="166">
        <f>ROUND(O25*'Attachment B1 (Last Mile)'!$G19*3,-2)</f>
        <v>6000</v>
      </c>
      <c r="P34" s="166">
        <f>ROUND(P25*'Attachment B1 (Last Mile)'!$G19*3,-2)</f>
        <v>6000</v>
      </c>
      <c r="Q34" s="166">
        <f>ROUND(Q25*'Attachment B1 (Last Mile)'!$G19*3,-2)</f>
        <v>6000</v>
      </c>
      <c r="R34" s="166">
        <f>ROUND(R25*'Attachment B1 (Last Mile)'!$G19*3,-2)</f>
        <v>6000</v>
      </c>
      <c r="S34" s="166">
        <f>ROUND(S25*'Attachment B1 (Last Mile)'!$G19*3,-2)</f>
        <v>6000</v>
      </c>
      <c r="T34" s="166">
        <f>ROUND(T25*'Attachment B1 (Last Mile)'!$G19*3,-2)</f>
        <v>6000</v>
      </c>
      <c r="U34" s="166">
        <f>ROUND(U25*'Attachment B1 (Last Mile)'!$G19*3,-2)</f>
        <v>6000</v>
      </c>
      <c r="V34" s="166">
        <f>ROUND(V25*'Attachment B1 (Last Mile)'!$G19*12,-2)</f>
        <v>24000</v>
      </c>
      <c r="W34" s="166">
        <f>ROUND(W25*'Attachment B1 (Last Mile)'!$G19*12,-2)</f>
        <v>24000</v>
      </c>
      <c r="X34" s="166">
        <f>ROUND(X25*'Attachment B1 (Last Mile)'!$G19*12,-2)</f>
        <v>24000</v>
      </c>
      <c r="Y34" s="166">
        <f>ROUND(Y25*'Attachment B1 (Last Mile)'!$G19*12,-2)</f>
        <v>24000</v>
      </c>
      <c r="Z34" s="166">
        <f>ROUND(Z25*'Attachment B1 (Last Mile)'!$G19*12,-2)</f>
        <v>24000</v>
      </c>
    </row>
    <row r="35" spans="1:26">
      <c r="A35" s="172" t="str">
        <f t="shared" si="1"/>
        <v>Private VLAN 100 Mbps</v>
      </c>
      <c r="B35" s="166">
        <f>ROUND(B26*'Attachment B1 (Last Mile)'!$G20*3,-2)</f>
        <v>0</v>
      </c>
      <c r="C35" s="166">
        <f>ROUND(C26*'Attachment B1 (Last Mile)'!$G20*3,-2)</f>
        <v>0</v>
      </c>
      <c r="D35" s="166">
        <f>ROUND(D26*'Attachment B1 (Last Mile)'!$G20*3,-2)</f>
        <v>2400</v>
      </c>
      <c r="E35" s="166">
        <f>ROUND(E26*'Attachment B1 (Last Mile)'!$G20*3,-2)</f>
        <v>0</v>
      </c>
      <c r="F35" s="166">
        <f>ROUND(F26*'Attachment B1 (Last Mile)'!$G20*3,-2)</f>
        <v>1200</v>
      </c>
      <c r="G35" s="166">
        <f>ROUND(G26*'Attachment B1 (Last Mile)'!$G20*3,-2)</f>
        <v>2400</v>
      </c>
      <c r="H35" s="166">
        <f>ROUND(H26*'Attachment B1 (Last Mile)'!$G20*3,-2)</f>
        <v>3600</v>
      </c>
      <c r="I35" s="166">
        <f>ROUND(I26*'Attachment B1 (Last Mile)'!$G20*3,-2)</f>
        <v>4800</v>
      </c>
      <c r="J35" s="166">
        <f>ROUND(J26*'Attachment B1 (Last Mile)'!$G20*3,-2)</f>
        <v>4800</v>
      </c>
      <c r="K35" s="166">
        <f>ROUND(K26*'Attachment B1 (Last Mile)'!$G20*3,-2)</f>
        <v>4800</v>
      </c>
      <c r="L35" s="166">
        <f>ROUND(L26*'Attachment B1 (Last Mile)'!$G20*3,-2)</f>
        <v>4800</v>
      </c>
      <c r="M35" s="166">
        <f>ROUND(M26*'Attachment B1 (Last Mile)'!$G20*3,-2)</f>
        <v>4800</v>
      </c>
      <c r="N35" s="166">
        <f>ROUND(N26*'Attachment B1 (Last Mile)'!$G20*3,-2)</f>
        <v>4800</v>
      </c>
      <c r="O35" s="166">
        <f>ROUND(O26*'Attachment B1 (Last Mile)'!$G20*3,-2)</f>
        <v>4800</v>
      </c>
      <c r="P35" s="166">
        <f>ROUND(P26*'Attachment B1 (Last Mile)'!$G20*3,-2)</f>
        <v>4800</v>
      </c>
      <c r="Q35" s="166">
        <f>ROUND(Q26*'Attachment B1 (Last Mile)'!$G20*3,-2)</f>
        <v>4800</v>
      </c>
      <c r="R35" s="166">
        <f>ROUND(R26*'Attachment B1 (Last Mile)'!$G20*3,-2)</f>
        <v>4800</v>
      </c>
      <c r="S35" s="166">
        <f>ROUND(S26*'Attachment B1 (Last Mile)'!$G20*3,-2)</f>
        <v>4800</v>
      </c>
      <c r="T35" s="166">
        <f>ROUND(T26*'Attachment B1 (Last Mile)'!$G20*3,-2)</f>
        <v>4800</v>
      </c>
      <c r="U35" s="166">
        <f>ROUND(U26*'Attachment B1 (Last Mile)'!$G20*3,-2)</f>
        <v>4800</v>
      </c>
      <c r="V35" s="166">
        <f>ROUND(V26*'Attachment B1 (Last Mile)'!$G20*12,-2)</f>
        <v>19200</v>
      </c>
      <c r="W35" s="166">
        <f>ROUND(W26*'Attachment B1 (Last Mile)'!$G20*12,-2)</f>
        <v>19200</v>
      </c>
      <c r="X35" s="166">
        <f>ROUND(X26*'Attachment B1 (Last Mile)'!$G20*12,-2)</f>
        <v>19200</v>
      </c>
      <c r="Y35" s="166">
        <f>ROUND(Y26*'Attachment B1 (Last Mile)'!$G20*12,-2)</f>
        <v>19200</v>
      </c>
      <c r="Z35" s="166">
        <f>ROUND(Z26*'Attachment B1 (Last Mile)'!$G20*12,-2)</f>
        <v>19200</v>
      </c>
    </row>
    <row r="36" spans="1:26" ht="17.25">
      <c r="A36" s="172" t="str">
        <f>+A27</f>
        <v>Private VLAN 1 Gbps</v>
      </c>
      <c r="B36" s="277">
        <f>ROUND(B27*'Attachment B1 (Last Mile)'!$G21*3,-2)</f>
        <v>0</v>
      </c>
      <c r="C36" s="277">
        <f>ROUND(C27*'Attachment B1 (Last Mile)'!$G21*3,-2)</f>
        <v>0</v>
      </c>
      <c r="D36" s="277">
        <f>ROUND(D27*'Attachment B1 (Last Mile)'!$G21*3,-2)</f>
        <v>0</v>
      </c>
      <c r="E36" s="277">
        <f>ROUND(E27*'Attachment B1 (Last Mile)'!$G21*3,-2)</f>
        <v>0</v>
      </c>
      <c r="F36" s="277">
        <f>ROUND(F27*'Attachment B1 (Last Mile)'!$G21*3,-2)</f>
        <v>0</v>
      </c>
      <c r="G36" s="277">
        <f>ROUND(G27*'Attachment B1 (Last Mile)'!$G21*3,-2)</f>
        <v>0</v>
      </c>
      <c r="H36" s="277">
        <f>ROUND(H27*'Attachment B1 (Last Mile)'!$G21*3,-2)</f>
        <v>0</v>
      </c>
      <c r="I36" s="277">
        <f>ROUND(I27*'Attachment B1 (Last Mile)'!$G21*3,-2)</f>
        <v>0</v>
      </c>
      <c r="J36" s="277">
        <f>ROUND(J27*'Attachment B1 (Last Mile)'!$G21*3,-2)</f>
        <v>0</v>
      </c>
      <c r="K36" s="277">
        <f>ROUND(K27*'Attachment B1 (Last Mile)'!$G21*3,-2)</f>
        <v>0</v>
      </c>
      <c r="L36" s="277">
        <f>ROUND(L27*'Attachment B1 (Last Mile)'!$G21*3,-2)</f>
        <v>0</v>
      </c>
      <c r="M36" s="277">
        <f>ROUND(M27*'Attachment B1 (Last Mile)'!$G21*3,-2)</f>
        <v>0</v>
      </c>
      <c r="N36" s="277">
        <f>ROUND(N27*'Attachment B1 (Last Mile)'!$G21*3,-2)</f>
        <v>0</v>
      </c>
      <c r="O36" s="277">
        <f>ROUND(O27*'Attachment B1 (Last Mile)'!$G21*3,-2)</f>
        <v>0</v>
      </c>
      <c r="P36" s="277">
        <f>ROUND(P27*'Attachment B1 (Last Mile)'!$G21*3,-2)</f>
        <v>0</v>
      </c>
      <c r="Q36" s="277">
        <f>ROUND(Q27*'Attachment B1 (Last Mile)'!$G21*3,-2)</f>
        <v>0</v>
      </c>
      <c r="R36" s="277">
        <f>ROUND(R27*'Attachment B1 (Last Mile)'!$G21*3,-2)</f>
        <v>0</v>
      </c>
      <c r="S36" s="277">
        <f>ROUND(S27*'Attachment B1 (Last Mile)'!$G21*3,-2)</f>
        <v>0</v>
      </c>
      <c r="T36" s="277">
        <f>ROUND(T27*'Attachment B1 (Last Mile)'!$G21*3,-2)</f>
        <v>0</v>
      </c>
      <c r="U36" s="277">
        <f>ROUND(U27*'Attachment B1 (Last Mile)'!$G21*3,-2)</f>
        <v>0</v>
      </c>
      <c r="V36" s="277">
        <f>ROUND(V27*'Attachment B1 (Last Mile)'!$G21*12,-2)</f>
        <v>0</v>
      </c>
      <c r="W36" s="277">
        <f>ROUND(W27*'Attachment B1 (Last Mile)'!$G21*12,-2)</f>
        <v>0</v>
      </c>
      <c r="X36" s="277">
        <f>ROUND(X27*'Attachment B1 (Last Mile)'!$G21*12,-2)</f>
        <v>0</v>
      </c>
      <c r="Y36" s="277">
        <f>ROUND(Y27*'Attachment B1 (Last Mile)'!$G21*12,-2)</f>
        <v>0</v>
      </c>
      <c r="Z36" s="277">
        <f>ROUND(Z27*'Attachment B1 (Last Mile)'!$G21*12,-2)</f>
        <v>0</v>
      </c>
    </row>
    <row r="37" spans="1:26">
      <c r="A37" s="172" t="s">
        <v>326</v>
      </c>
      <c r="B37" s="179">
        <f>SUM(B29:B36)</f>
        <v>0</v>
      </c>
      <c r="C37" s="179">
        <f t="shared" ref="C37:Z37" si="2">SUM(C29:C36)</f>
        <v>0</v>
      </c>
      <c r="D37" s="179">
        <f t="shared" si="2"/>
        <v>24400</v>
      </c>
      <c r="E37" s="179">
        <f t="shared" si="2"/>
        <v>22800</v>
      </c>
      <c r="F37" s="179">
        <f t="shared" si="2"/>
        <v>36600</v>
      </c>
      <c r="G37" s="179">
        <f t="shared" si="2"/>
        <v>50500</v>
      </c>
      <c r="H37" s="179">
        <f t="shared" si="2"/>
        <v>64300</v>
      </c>
      <c r="I37" s="179">
        <f t="shared" si="2"/>
        <v>78000</v>
      </c>
      <c r="J37" s="179">
        <f t="shared" si="2"/>
        <v>78000</v>
      </c>
      <c r="K37" s="179">
        <f t="shared" si="2"/>
        <v>78000</v>
      </c>
      <c r="L37" s="179">
        <f t="shared" si="2"/>
        <v>78000</v>
      </c>
      <c r="M37" s="179">
        <f t="shared" si="2"/>
        <v>78000</v>
      </c>
      <c r="N37" s="179">
        <f t="shared" si="2"/>
        <v>78000</v>
      </c>
      <c r="O37" s="179">
        <f t="shared" si="2"/>
        <v>78000</v>
      </c>
      <c r="P37" s="179">
        <f t="shared" si="2"/>
        <v>78000</v>
      </c>
      <c r="Q37" s="179">
        <f t="shared" si="2"/>
        <v>78000</v>
      </c>
      <c r="R37" s="179">
        <f t="shared" si="2"/>
        <v>78000</v>
      </c>
      <c r="S37" s="179">
        <f t="shared" si="2"/>
        <v>78000</v>
      </c>
      <c r="T37" s="179">
        <f t="shared" si="2"/>
        <v>78000</v>
      </c>
      <c r="U37" s="179">
        <f t="shared" si="2"/>
        <v>78000</v>
      </c>
      <c r="V37" s="179">
        <f t="shared" si="2"/>
        <v>312300</v>
      </c>
      <c r="W37" s="179">
        <f t="shared" si="2"/>
        <v>312300</v>
      </c>
      <c r="X37" s="179">
        <f t="shared" si="2"/>
        <v>312300</v>
      </c>
      <c r="Y37" s="179">
        <f t="shared" si="2"/>
        <v>312300</v>
      </c>
      <c r="Z37" s="179">
        <f t="shared" si="2"/>
        <v>312300</v>
      </c>
    </row>
    <row r="39" spans="1:26">
      <c r="A39" t="s">
        <v>327</v>
      </c>
    </row>
    <row r="40" spans="1:26">
      <c r="A40" s="172" t="str">
        <f>+A6</f>
        <v>UC2B 20/100Internet CNS</v>
      </c>
      <c r="B40" s="166">
        <f>+'Attachment H2 (Anchor)'!D8</f>
        <v>0</v>
      </c>
      <c r="C40" s="166">
        <f>+'Attachment H2 (Anchor)'!E8</f>
        <v>0</v>
      </c>
      <c r="D40" s="166">
        <f>+'Attachment H2 (Anchor)'!F8</f>
        <v>0</v>
      </c>
      <c r="E40" s="166">
        <f>+'Attachment H2 (Anchor)'!G8</f>
        <v>10</v>
      </c>
      <c r="F40" s="166">
        <f>+'Attachment H2 (Anchor)'!H8</f>
        <v>16</v>
      </c>
      <c r="G40" s="166">
        <f>+'Attachment H2 (Anchor)'!I8</f>
        <v>34</v>
      </c>
      <c r="H40" s="166">
        <f>+'Attachment H2 (Anchor)'!J8</f>
        <v>51</v>
      </c>
      <c r="I40" s="166">
        <f>+'Attachment H2 (Anchor)'!K8</f>
        <v>68</v>
      </c>
      <c r="J40" s="166">
        <f>+'Attachment H2 (Anchor)'!L8</f>
        <v>68</v>
      </c>
      <c r="K40" s="166">
        <f>+'Attachment H2 (Anchor)'!M8</f>
        <v>68</v>
      </c>
      <c r="L40" s="166">
        <f>+'Attachment H2 (Anchor)'!N8</f>
        <v>68</v>
      </c>
      <c r="M40" s="166">
        <f>+'Attachment H2 (Anchor)'!O8</f>
        <v>68</v>
      </c>
      <c r="N40" s="166">
        <f>+'Attachment H2 (Anchor)'!P8</f>
        <v>68</v>
      </c>
      <c r="O40" s="166">
        <f>+'Attachment H2 (Anchor)'!Q8</f>
        <v>68</v>
      </c>
      <c r="P40" s="166">
        <f>+'Attachment H2 (Anchor)'!R8</f>
        <v>68</v>
      </c>
      <c r="Q40" s="166">
        <f>+'Attachment H2 (Anchor)'!S8</f>
        <v>68</v>
      </c>
      <c r="R40" s="166">
        <f>+'Attachment H2 (Anchor)'!T8</f>
        <v>68</v>
      </c>
      <c r="S40" s="166">
        <f>+'Attachment H2 (Anchor)'!U8</f>
        <v>68</v>
      </c>
      <c r="T40" s="166">
        <f>+'Attachment H2 (Anchor)'!V8</f>
        <v>68</v>
      </c>
      <c r="U40" s="166">
        <f>+'Attachment H2 (Anchor)'!W8</f>
        <v>68</v>
      </c>
      <c r="V40" s="166">
        <f>+'Attachment H2 (Anchor)'!X8</f>
        <v>68</v>
      </c>
      <c r="W40" s="166">
        <f>+'Attachment H2 (Anchor)'!Y8</f>
        <v>68</v>
      </c>
      <c r="X40" s="166">
        <f>+'Attachment H2 (Anchor)'!Z8</f>
        <v>68</v>
      </c>
      <c r="Y40" s="166">
        <f>+'Attachment H2 (Anchor)'!AA8</f>
        <v>68</v>
      </c>
      <c r="Z40" s="166">
        <f>+'Attachment H2 (Anchor)'!AB8</f>
        <v>68</v>
      </c>
    </row>
    <row r="41" spans="1:26">
      <c r="A41" s="172" t="str">
        <f t="shared" ref="A41:A44" si="3">+A7</f>
        <v>UC2B 30/100Internet CNS</v>
      </c>
      <c r="B41" s="166">
        <f>+'Attachment H2 (Anchor)'!D12</f>
        <v>0</v>
      </c>
      <c r="C41" s="166">
        <f>+'Attachment H2 (Anchor)'!E12</f>
        <v>0</v>
      </c>
      <c r="D41" s="166">
        <f>+'Attachment H2 (Anchor)'!F12</f>
        <v>0</v>
      </c>
      <c r="E41" s="166">
        <f>+'Attachment H2 (Anchor)'!G12</f>
        <v>0</v>
      </c>
      <c r="F41" s="166">
        <f>+'Attachment H2 (Anchor)'!H12</f>
        <v>6</v>
      </c>
      <c r="G41" s="166">
        <f>+'Attachment H2 (Anchor)'!I12</f>
        <v>14</v>
      </c>
      <c r="H41" s="166">
        <f>+'Attachment H2 (Anchor)'!J12</f>
        <v>22</v>
      </c>
      <c r="I41" s="166">
        <f>+'Attachment H2 (Anchor)'!K12</f>
        <v>28</v>
      </c>
      <c r="J41" s="166">
        <f>+'Attachment H2 (Anchor)'!L12</f>
        <v>28</v>
      </c>
      <c r="K41" s="166">
        <f>+'Attachment H2 (Anchor)'!M12</f>
        <v>28</v>
      </c>
      <c r="L41" s="166">
        <f>+'Attachment H2 (Anchor)'!N12</f>
        <v>28</v>
      </c>
      <c r="M41" s="166">
        <f>+'Attachment H2 (Anchor)'!O12</f>
        <v>28</v>
      </c>
      <c r="N41" s="166">
        <f>+'Attachment H2 (Anchor)'!P12</f>
        <v>28</v>
      </c>
      <c r="O41" s="166">
        <f>+'Attachment H2 (Anchor)'!Q12</f>
        <v>28</v>
      </c>
      <c r="P41" s="166">
        <f>+'Attachment H2 (Anchor)'!R12</f>
        <v>28</v>
      </c>
      <c r="Q41" s="166">
        <f>+'Attachment H2 (Anchor)'!S12</f>
        <v>28</v>
      </c>
      <c r="R41" s="166">
        <f>+'Attachment H2 (Anchor)'!T12</f>
        <v>28</v>
      </c>
      <c r="S41" s="166">
        <f>+'Attachment H2 (Anchor)'!U12</f>
        <v>28</v>
      </c>
      <c r="T41" s="166">
        <f>+'Attachment H2 (Anchor)'!V12</f>
        <v>28</v>
      </c>
      <c r="U41" s="166">
        <f>+'Attachment H2 (Anchor)'!W12</f>
        <v>28</v>
      </c>
      <c r="V41" s="166">
        <f>+'Attachment H2 (Anchor)'!X12</f>
        <v>28</v>
      </c>
      <c r="W41" s="166">
        <f>+'Attachment H2 (Anchor)'!Y12</f>
        <v>28</v>
      </c>
      <c r="X41" s="166">
        <f>+'Attachment H2 (Anchor)'!Z12</f>
        <v>28</v>
      </c>
      <c r="Y41" s="166">
        <f>+'Attachment H2 (Anchor)'!AA12</f>
        <v>28</v>
      </c>
      <c r="Z41" s="166">
        <f>+'Attachment H2 (Anchor)'!AB12</f>
        <v>28</v>
      </c>
    </row>
    <row r="42" spans="1:26">
      <c r="A42" s="172" t="str">
        <f t="shared" si="3"/>
        <v>UC2B 40/100Internet CNS</v>
      </c>
      <c r="B42" s="166">
        <f>+'Attachment H2 (Anchor)'!D16</f>
        <v>0</v>
      </c>
      <c r="C42" s="166">
        <f>+'Attachment H2 (Anchor)'!E16</f>
        <v>0</v>
      </c>
      <c r="D42" s="166">
        <f>+'Attachment H2 (Anchor)'!F16</f>
        <v>0</v>
      </c>
      <c r="E42" s="166">
        <f>+'Attachment H2 (Anchor)'!G16</f>
        <v>0</v>
      </c>
      <c r="F42" s="166">
        <f>+'Attachment H2 (Anchor)'!H16</f>
        <v>5</v>
      </c>
      <c r="G42" s="166">
        <f>+'Attachment H2 (Anchor)'!I16</f>
        <v>10</v>
      </c>
      <c r="H42" s="166">
        <f>+'Attachment H2 (Anchor)'!J16</f>
        <v>16</v>
      </c>
      <c r="I42" s="166">
        <f>+'Attachment H2 (Anchor)'!K16</f>
        <v>19</v>
      </c>
      <c r="J42" s="166">
        <f>+'Attachment H2 (Anchor)'!L16</f>
        <v>19</v>
      </c>
      <c r="K42" s="166">
        <f>+'Attachment H2 (Anchor)'!M16</f>
        <v>19</v>
      </c>
      <c r="L42" s="166">
        <f>+'Attachment H2 (Anchor)'!N16</f>
        <v>19</v>
      </c>
      <c r="M42" s="166">
        <f>+'Attachment H2 (Anchor)'!O16</f>
        <v>19</v>
      </c>
      <c r="N42" s="166">
        <f>+'Attachment H2 (Anchor)'!P16</f>
        <v>19</v>
      </c>
      <c r="O42" s="166">
        <f>+'Attachment H2 (Anchor)'!Q16</f>
        <v>19</v>
      </c>
      <c r="P42" s="166">
        <f>+'Attachment H2 (Anchor)'!R16</f>
        <v>19</v>
      </c>
      <c r="Q42" s="166">
        <f>+'Attachment H2 (Anchor)'!S16</f>
        <v>19</v>
      </c>
      <c r="R42" s="166">
        <f>+'Attachment H2 (Anchor)'!T16</f>
        <v>19</v>
      </c>
      <c r="S42" s="166">
        <f>+'Attachment H2 (Anchor)'!U16</f>
        <v>19</v>
      </c>
      <c r="T42" s="166">
        <f>+'Attachment H2 (Anchor)'!V16</f>
        <v>19</v>
      </c>
      <c r="U42" s="166">
        <f>+'Attachment H2 (Anchor)'!W16</f>
        <v>19</v>
      </c>
      <c r="V42" s="166">
        <f>+'Attachment H2 (Anchor)'!X16</f>
        <v>19</v>
      </c>
      <c r="W42" s="166">
        <f>+'Attachment H2 (Anchor)'!Y16</f>
        <v>19</v>
      </c>
      <c r="X42" s="166">
        <f>+'Attachment H2 (Anchor)'!Z16</f>
        <v>19</v>
      </c>
      <c r="Y42" s="166">
        <f>+'Attachment H2 (Anchor)'!AA16</f>
        <v>19</v>
      </c>
      <c r="Z42" s="166">
        <f>+'Attachment H2 (Anchor)'!AB16</f>
        <v>19</v>
      </c>
    </row>
    <row r="43" spans="1:26">
      <c r="A43" s="172" t="str">
        <f t="shared" si="3"/>
        <v>Wireless</v>
      </c>
      <c r="B43" s="166">
        <f>+'Attachment H2 (Anchor)'!D20</f>
        <v>0</v>
      </c>
      <c r="C43" s="166">
        <f>+'Attachment H2 (Anchor)'!E20</f>
        <v>0</v>
      </c>
      <c r="D43" s="166">
        <f>+'Attachment H2 (Anchor)'!F20</f>
        <v>0</v>
      </c>
      <c r="E43" s="166">
        <f>+'Attachment H2 (Anchor)'!G20</f>
        <v>0</v>
      </c>
      <c r="F43" s="166">
        <f>+'Attachment H2 (Anchor)'!H20</f>
        <v>4</v>
      </c>
      <c r="G43" s="166">
        <f>+'Attachment H2 (Anchor)'!I20</f>
        <v>8</v>
      </c>
      <c r="H43" s="166">
        <f>+'Attachment H2 (Anchor)'!J20</f>
        <v>11</v>
      </c>
      <c r="I43" s="166">
        <f>+'Attachment H2 (Anchor)'!K20</f>
        <v>13</v>
      </c>
      <c r="J43" s="166">
        <f>+'Attachment H2 (Anchor)'!L20</f>
        <v>13</v>
      </c>
      <c r="K43" s="166">
        <f>+'Attachment H2 (Anchor)'!M20</f>
        <v>13</v>
      </c>
      <c r="L43" s="166">
        <f>+'Attachment H2 (Anchor)'!N20</f>
        <v>13</v>
      </c>
      <c r="M43" s="166">
        <f>+'Attachment H2 (Anchor)'!O20</f>
        <v>13</v>
      </c>
      <c r="N43" s="166">
        <f>+'Attachment H2 (Anchor)'!P20</f>
        <v>13</v>
      </c>
      <c r="O43" s="166">
        <f>+'Attachment H2 (Anchor)'!Q20</f>
        <v>13</v>
      </c>
      <c r="P43" s="166">
        <f>+'Attachment H2 (Anchor)'!R20</f>
        <v>13</v>
      </c>
      <c r="Q43" s="166">
        <f>+'Attachment H2 (Anchor)'!S20</f>
        <v>13</v>
      </c>
      <c r="R43" s="166">
        <f>+'Attachment H2 (Anchor)'!T20</f>
        <v>13</v>
      </c>
      <c r="S43" s="166">
        <f>+'Attachment H2 (Anchor)'!U20</f>
        <v>13</v>
      </c>
      <c r="T43" s="166">
        <f>+'Attachment H2 (Anchor)'!V20</f>
        <v>13</v>
      </c>
      <c r="U43" s="166">
        <f>+'Attachment H2 (Anchor)'!W20</f>
        <v>13</v>
      </c>
      <c r="V43" s="166">
        <f>+'Attachment H2 (Anchor)'!X20</f>
        <v>13</v>
      </c>
      <c r="W43" s="166">
        <f>+'Attachment H2 (Anchor)'!Y20</f>
        <v>13</v>
      </c>
      <c r="X43" s="166">
        <f>+'Attachment H2 (Anchor)'!Z20</f>
        <v>13</v>
      </c>
      <c r="Y43" s="166">
        <f>+'Attachment H2 (Anchor)'!AA20</f>
        <v>13</v>
      </c>
      <c r="Z43" s="166">
        <f>+'Attachment H2 (Anchor)'!AB20</f>
        <v>13</v>
      </c>
    </row>
    <row r="44" spans="1:26">
      <c r="A44" s="172" t="str">
        <f t="shared" si="3"/>
        <v>Not applicable</v>
      </c>
      <c r="B44" s="166">
        <f>+'Attachment H2 (Anchor)'!D24</f>
        <v>0</v>
      </c>
      <c r="C44" s="166">
        <f>+'Attachment H2 (Anchor)'!E24</f>
        <v>0</v>
      </c>
      <c r="D44" s="166">
        <f>+'Attachment H2 (Anchor)'!F24</f>
        <v>0</v>
      </c>
      <c r="E44" s="166">
        <f>+'Attachment H2 (Anchor)'!G24</f>
        <v>0</v>
      </c>
      <c r="F44" s="166">
        <f>+'Attachment H2 (Anchor)'!H24</f>
        <v>3</v>
      </c>
      <c r="G44" s="166">
        <f>+'Attachment H2 (Anchor)'!I24</f>
        <v>5</v>
      </c>
      <c r="H44" s="166">
        <f>+'Attachment H2 (Anchor)'!J24</f>
        <v>8</v>
      </c>
      <c r="I44" s="166">
        <f>+'Attachment H2 (Anchor)'!K24</f>
        <v>9</v>
      </c>
      <c r="J44" s="166">
        <f>+'Attachment H2 (Anchor)'!L24</f>
        <v>9</v>
      </c>
      <c r="K44" s="166">
        <f>+'Attachment H2 (Anchor)'!M24</f>
        <v>9</v>
      </c>
      <c r="L44" s="166">
        <f>+'Attachment H2 (Anchor)'!N24</f>
        <v>9</v>
      </c>
      <c r="M44" s="166">
        <f>+'Attachment H2 (Anchor)'!O24</f>
        <v>9</v>
      </c>
      <c r="N44" s="166">
        <f>+'Attachment H2 (Anchor)'!P24</f>
        <v>9</v>
      </c>
      <c r="O44" s="166">
        <f>+'Attachment H2 (Anchor)'!Q24</f>
        <v>9</v>
      </c>
      <c r="P44" s="166">
        <f>+'Attachment H2 (Anchor)'!R24</f>
        <v>9</v>
      </c>
      <c r="Q44" s="166">
        <f>+'Attachment H2 (Anchor)'!S24</f>
        <v>9</v>
      </c>
      <c r="R44" s="166">
        <f>+'Attachment H2 (Anchor)'!T24</f>
        <v>9</v>
      </c>
      <c r="S44" s="166">
        <f>+'Attachment H2 (Anchor)'!U24</f>
        <v>9</v>
      </c>
      <c r="T44" s="166">
        <f>+'Attachment H2 (Anchor)'!V24</f>
        <v>9</v>
      </c>
      <c r="U44" s="166">
        <f>+'Attachment H2 (Anchor)'!W24</f>
        <v>9</v>
      </c>
      <c r="V44" s="166">
        <f>+'Attachment H2 (Anchor)'!X24</f>
        <v>9</v>
      </c>
      <c r="W44" s="166">
        <f>+'Attachment H2 (Anchor)'!Y24</f>
        <v>9</v>
      </c>
      <c r="X44" s="166">
        <f>+'Attachment H2 (Anchor)'!Z24</f>
        <v>9</v>
      </c>
      <c r="Y44" s="166">
        <f>+'Attachment H2 (Anchor)'!AA24</f>
        <v>9</v>
      </c>
      <c r="Z44" s="166">
        <f>+'Attachment H2 (Anchor)'!AB24</f>
        <v>9</v>
      </c>
    </row>
    <row r="45" spans="1:26">
      <c r="A45" t="s">
        <v>328</v>
      </c>
    </row>
    <row r="46" spans="1:26">
      <c r="A46" s="172" t="str">
        <f>+A40</f>
        <v>UC2B 20/100Internet CNS</v>
      </c>
      <c r="B46" s="179">
        <f>ROUND(B40*'Attachment B1 (Last Mile)'!$G8*3,-2)</f>
        <v>0</v>
      </c>
      <c r="C46" s="179">
        <f>ROUND(C40*'Attachment B1 (Last Mile)'!$G8*3,-2)</f>
        <v>0</v>
      </c>
      <c r="D46" s="179">
        <f>ROUND(D40*'Attachment B1 (Last Mile)'!$G8*3,-2)</f>
        <v>0</v>
      </c>
      <c r="E46" s="179">
        <f>ROUND(E40*'Attachment B1 (Last Mile)'!$G8*3,-2)</f>
        <v>600</v>
      </c>
      <c r="F46" s="179">
        <f>ROUND(F40*'Attachment B1 (Last Mile)'!$G8*3,-2)</f>
        <v>1000</v>
      </c>
      <c r="G46" s="179">
        <f>ROUND(G40*'Attachment B1 (Last Mile)'!$G8*3,-2)</f>
        <v>2000</v>
      </c>
      <c r="H46" s="179">
        <f>ROUND(H40*'Attachment B1 (Last Mile)'!$G8*3,-2)</f>
        <v>3100</v>
      </c>
      <c r="I46" s="179">
        <f>ROUND(I40*'Attachment B1 (Last Mile)'!$G8*3,-2)</f>
        <v>4100</v>
      </c>
      <c r="J46" s="179">
        <f>ROUND(J40*'Attachment B1 (Last Mile)'!$G8*3,-2)</f>
        <v>4100</v>
      </c>
      <c r="K46" s="179">
        <f>ROUND(K40*'Attachment B1 (Last Mile)'!$G8*3,-2)</f>
        <v>4100</v>
      </c>
      <c r="L46" s="179">
        <f>ROUND(L40*'Attachment B1 (Last Mile)'!$G8*3,-2)</f>
        <v>4100</v>
      </c>
      <c r="M46" s="179">
        <f>ROUND(M40*'Attachment B1 (Last Mile)'!$G8*3,-2)</f>
        <v>4100</v>
      </c>
      <c r="N46" s="179">
        <f>ROUND(N40*'Attachment B1 (Last Mile)'!$G8*3,-2)</f>
        <v>4100</v>
      </c>
      <c r="O46" s="179">
        <f>ROUND(O40*'Attachment B1 (Last Mile)'!$G8*3,-2)</f>
        <v>4100</v>
      </c>
      <c r="P46" s="179">
        <f>ROUND(P40*'Attachment B1 (Last Mile)'!$G8*3,-2)</f>
        <v>4100</v>
      </c>
      <c r="Q46" s="179">
        <f>ROUND(Q40*'Attachment B1 (Last Mile)'!$G8*3,-2)</f>
        <v>4100</v>
      </c>
      <c r="R46" s="179">
        <f>ROUND(R40*'Attachment B1 (Last Mile)'!$G8*3,-2)</f>
        <v>4100</v>
      </c>
      <c r="S46" s="179">
        <f>ROUND(S40*'Attachment B1 (Last Mile)'!$G8*3,-2)</f>
        <v>4100</v>
      </c>
      <c r="T46" s="179">
        <f>ROUND(T40*'Attachment B1 (Last Mile)'!$G8*3,-2)</f>
        <v>4100</v>
      </c>
      <c r="U46" s="179">
        <f>ROUND(U40*'Attachment B1 (Last Mile)'!$G8*3,-2)</f>
        <v>4100</v>
      </c>
      <c r="V46" s="179">
        <f>ROUND(V40*'Attachment B1 (Last Mile)'!$G8*12,-2)</f>
        <v>16300</v>
      </c>
      <c r="W46" s="179">
        <f>ROUND(W40*'Attachment B1 (Last Mile)'!$G8*12,-2)</f>
        <v>16300</v>
      </c>
      <c r="X46" s="179">
        <f>ROUND(X40*'Attachment B1 (Last Mile)'!$G8*12,-2)</f>
        <v>16300</v>
      </c>
      <c r="Y46" s="179">
        <f>ROUND(Y40*'Attachment B1 (Last Mile)'!$G8*12,-2)</f>
        <v>16300</v>
      </c>
      <c r="Z46" s="179">
        <f>ROUND(Z40*'Attachment B1 (Last Mile)'!$G8*12,-2)</f>
        <v>16300</v>
      </c>
    </row>
    <row r="47" spans="1:26">
      <c r="A47" s="172" t="str">
        <f t="shared" ref="A47:A50" si="4">+A41</f>
        <v>UC2B 30/100Internet CNS</v>
      </c>
      <c r="B47" s="166">
        <f>ROUND(B41*'Attachment B1 (Last Mile)'!$G9*3,-2)</f>
        <v>0</v>
      </c>
      <c r="C47" s="166">
        <f>ROUND(C41*'Attachment B1 (Last Mile)'!$G9*3,-2)</f>
        <v>0</v>
      </c>
      <c r="D47" s="166">
        <f>ROUND(D41*'Attachment B1 (Last Mile)'!$G9*3,-2)</f>
        <v>0</v>
      </c>
      <c r="E47" s="166">
        <f>ROUND(E41*'Attachment B1 (Last Mile)'!$G9*3,-2)</f>
        <v>0</v>
      </c>
      <c r="F47" s="166">
        <f>ROUND(F41*'Attachment B1 (Last Mile)'!$G9*3,-2)</f>
        <v>500</v>
      </c>
      <c r="G47" s="166">
        <f>ROUND(G41*'Attachment B1 (Last Mile)'!$G9*3,-2)</f>
        <v>1300</v>
      </c>
      <c r="H47" s="166">
        <f>ROUND(H41*'Attachment B1 (Last Mile)'!$G9*3,-2)</f>
        <v>2000</v>
      </c>
      <c r="I47" s="166">
        <f>ROUND(I41*'Attachment B1 (Last Mile)'!$G9*3,-2)</f>
        <v>2500</v>
      </c>
      <c r="J47" s="166">
        <f>ROUND(J41*'Attachment B1 (Last Mile)'!$G9*3,-2)</f>
        <v>2500</v>
      </c>
      <c r="K47" s="166">
        <f>ROUND(K41*'Attachment B1 (Last Mile)'!$G9*3,-2)</f>
        <v>2500</v>
      </c>
      <c r="L47" s="166">
        <f>ROUND(L41*'Attachment B1 (Last Mile)'!$G9*3,-2)</f>
        <v>2500</v>
      </c>
      <c r="M47" s="166">
        <f>ROUND(M41*'Attachment B1 (Last Mile)'!$G9*3,-2)</f>
        <v>2500</v>
      </c>
      <c r="N47" s="166">
        <f>ROUND(N41*'Attachment B1 (Last Mile)'!$G9*3,-2)</f>
        <v>2500</v>
      </c>
      <c r="O47" s="166">
        <f>ROUND(O41*'Attachment B1 (Last Mile)'!$G9*3,-2)</f>
        <v>2500</v>
      </c>
      <c r="P47" s="166">
        <f>ROUND(P41*'Attachment B1 (Last Mile)'!$G9*3,-2)</f>
        <v>2500</v>
      </c>
      <c r="Q47" s="166">
        <f>ROUND(Q41*'Attachment B1 (Last Mile)'!$G9*3,-2)</f>
        <v>2500</v>
      </c>
      <c r="R47" s="166">
        <f>ROUND(R41*'Attachment B1 (Last Mile)'!$G9*3,-2)</f>
        <v>2500</v>
      </c>
      <c r="S47" s="166">
        <f>ROUND(S41*'Attachment B1 (Last Mile)'!$G9*3,-2)</f>
        <v>2500</v>
      </c>
      <c r="T47" s="166">
        <f>ROUND(T41*'Attachment B1 (Last Mile)'!$G9*3,-2)</f>
        <v>2500</v>
      </c>
      <c r="U47" s="166">
        <f>ROUND(U41*'Attachment B1 (Last Mile)'!$G9*3,-2)</f>
        <v>2500</v>
      </c>
      <c r="V47" s="166">
        <f>ROUND(V41*'Attachment B1 (Last Mile)'!$G9*12,-2)</f>
        <v>10100</v>
      </c>
      <c r="W47" s="166">
        <f>ROUND(W41*'Attachment B1 (Last Mile)'!$G9*12,-2)</f>
        <v>10100</v>
      </c>
      <c r="X47" s="166">
        <f>ROUND(X41*'Attachment B1 (Last Mile)'!$G9*12,-2)</f>
        <v>10100</v>
      </c>
      <c r="Y47" s="166">
        <f>ROUND(Y41*'Attachment B1 (Last Mile)'!$G9*12,-2)</f>
        <v>10100</v>
      </c>
      <c r="Z47" s="166">
        <f>ROUND(Z41*'Attachment B1 (Last Mile)'!$G9*12,-2)</f>
        <v>10100</v>
      </c>
    </row>
    <row r="48" spans="1:26">
      <c r="A48" s="172" t="str">
        <f t="shared" si="4"/>
        <v>UC2B 40/100Internet CNS</v>
      </c>
      <c r="B48" s="166">
        <f>ROUND(B42*'Attachment B1 (Last Mile)'!$G10*3,-2)</f>
        <v>0</v>
      </c>
      <c r="C48" s="166">
        <f>ROUND(C42*'Attachment B1 (Last Mile)'!$G10*3,-2)</f>
        <v>0</v>
      </c>
      <c r="D48" s="166">
        <f>ROUND(D42*'Attachment B1 (Last Mile)'!$G10*3,-2)</f>
        <v>0</v>
      </c>
      <c r="E48" s="166">
        <f>ROUND(E42*'Attachment B1 (Last Mile)'!$G10*3,-2)</f>
        <v>0</v>
      </c>
      <c r="F48" s="166">
        <f>ROUND(F42*'Attachment B1 (Last Mile)'!$G10*3,-2)</f>
        <v>600</v>
      </c>
      <c r="G48" s="166">
        <f>ROUND(G42*'Attachment B1 (Last Mile)'!$G10*3,-2)</f>
        <v>1200</v>
      </c>
      <c r="H48" s="166">
        <f>ROUND(H42*'Attachment B1 (Last Mile)'!$G10*3,-2)</f>
        <v>1900</v>
      </c>
      <c r="I48" s="166">
        <f>ROUND(I42*'Attachment B1 (Last Mile)'!$G10*3,-2)</f>
        <v>2300</v>
      </c>
      <c r="J48" s="166">
        <f>ROUND(J42*'Attachment B1 (Last Mile)'!$G10*3,-2)</f>
        <v>2300</v>
      </c>
      <c r="K48" s="166">
        <f>ROUND(K42*'Attachment B1 (Last Mile)'!$G10*3,-2)</f>
        <v>2300</v>
      </c>
      <c r="L48" s="166">
        <f>ROUND(L42*'Attachment B1 (Last Mile)'!$G10*3,-2)</f>
        <v>2300</v>
      </c>
      <c r="M48" s="166">
        <f>ROUND(M42*'Attachment B1 (Last Mile)'!$G10*3,-2)</f>
        <v>2300</v>
      </c>
      <c r="N48" s="166">
        <f>ROUND(N42*'Attachment B1 (Last Mile)'!$G10*3,-2)</f>
        <v>2300</v>
      </c>
      <c r="O48" s="166">
        <f>ROUND(O42*'Attachment B1 (Last Mile)'!$G10*3,-2)</f>
        <v>2300</v>
      </c>
      <c r="P48" s="166">
        <f>ROUND(P42*'Attachment B1 (Last Mile)'!$G10*3,-2)</f>
        <v>2300</v>
      </c>
      <c r="Q48" s="166">
        <f>ROUND(Q42*'Attachment B1 (Last Mile)'!$G10*3,-2)</f>
        <v>2300</v>
      </c>
      <c r="R48" s="166">
        <f>ROUND(R42*'Attachment B1 (Last Mile)'!$G10*3,-2)</f>
        <v>2300</v>
      </c>
      <c r="S48" s="166">
        <f>ROUND(S42*'Attachment B1 (Last Mile)'!$G10*3,-2)</f>
        <v>2300</v>
      </c>
      <c r="T48" s="166">
        <f>ROUND(T42*'Attachment B1 (Last Mile)'!$G10*3,-2)</f>
        <v>2300</v>
      </c>
      <c r="U48" s="166">
        <f>ROUND(U42*'Attachment B1 (Last Mile)'!$G10*3,-2)</f>
        <v>2300</v>
      </c>
      <c r="V48" s="166">
        <f>ROUND(V42*'Attachment B1 (Last Mile)'!$G10*12,-2)</f>
        <v>9100</v>
      </c>
      <c r="W48" s="166">
        <f>ROUND(W42*'Attachment B1 (Last Mile)'!$G10*12,-2)</f>
        <v>9100</v>
      </c>
      <c r="X48" s="166">
        <f>ROUND(X42*'Attachment B1 (Last Mile)'!$G10*12,-2)</f>
        <v>9100</v>
      </c>
      <c r="Y48" s="166">
        <f>ROUND(Y42*'Attachment B1 (Last Mile)'!$G10*12,-2)</f>
        <v>9100</v>
      </c>
      <c r="Z48" s="166">
        <f>ROUND(Z42*'Attachment B1 (Last Mile)'!$G10*12,-2)</f>
        <v>9100</v>
      </c>
    </row>
    <row r="49" spans="1:26">
      <c r="A49" s="172" t="str">
        <f t="shared" si="4"/>
        <v>Wireless</v>
      </c>
      <c r="B49" s="166">
        <f>ROUND(B43*'Attachment B1 (Last Mile)'!$G11*3,-2)</f>
        <v>0</v>
      </c>
      <c r="C49" s="166">
        <f>ROUND(C43*'Attachment B1 (Last Mile)'!$G11*3,-2)</f>
        <v>0</v>
      </c>
      <c r="D49" s="166">
        <f>ROUND(D43*'Attachment B1 (Last Mile)'!$G11*3,-2)</f>
        <v>0</v>
      </c>
      <c r="E49" s="166">
        <f>ROUND(E43*'Attachment B1 (Last Mile)'!$G11*3,-2)</f>
        <v>0</v>
      </c>
      <c r="F49" s="166">
        <f>ROUND(F43*'Attachment B1 (Last Mile)'!$G11*3,-2)</f>
        <v>0</v>
      </c>
      <c r="G49" s="166">
        <f>ROUND(G43*'Attachment B1 (Last Mile)'!$G11*3,-2)</f>
        <v>0</v>
      </c>
      <c r="H49" s="166">
        <f>ROUND(H43*'Attachment B1 (Last Mile)'!$G11*3,-2)</f>
        <v>0</v>
      </c>
      <c r="I49" s="166">
        <f>ROUND(I43*'Attachment B1 (Last Mile)'!$G11*3,-2)</f>
        <v>0</v>
      </c>
      <c r="J49" s="166">
        <f>ROUND(J43*'Attachment B1 (Last Mile)'!$G11*3,-2)</f>
        <v>0</v>
      </c>
      <c r="K49" s="166">
        <f>ROUND(K43*'Attachment B1 (Last Mile)'!$G11*3,-2)</f>
        <v>0</v>
      </c>
      <c r="L49" s="166">
        <f>ROUND(L43*'Attachment B1 (Last Mile)'!$G11*3,-2)</f>
        <v>0</v>
      </c>
      <c r="M49" s="166">
        <f>ROUND(M43*'Attachment B1 (Last Mile)'!$G11*3,-2)</f>
        <v>0</v>
      </c>
      <c r="N49" s="166">
        <f>ROUND(N43*'Attachment B1 (Last Mile)'!$G11*3,-2)</f>
        <v>0</v>
      </c>
      <c r="O49" s="166">
        <f>ROUND(O43*'Attachment B1 (Last Mile)'!$G11*3,-2)</f>
        <v>0</v>
      </c>
      <c r="P49" s="166">
        <f>ROUND(P43*'Attachment B1 (Last Mile)'!$G11*3,-2)</f>
        <v>0</v>
      </c>
      <c r="Q49" s="166">
        <f>ROUND(Q43*'Attachment B1 (Last Mile)'!$G11*3,-2)</f>
        <v>0</v>
      </c>
      <c r="R49" s="166">
        <f>ROUND(R43*'Attachment B1 (Last Mile)'!$G11*3,-2)</f>
        <v>0</v>
      </c>
      <c r="S49" s="166">
        <f>ROUND(S43*'Attachment B1 (Last Mile)'!$G11*3,-2)</f>
        <v>0</v>
      </c>
      <c r="T49" s="166">
        <f>ROUND(T43*'Attachment B1 (Last Mile)'!$G11*3,-2)</f>
        <v>0</v>
      </c>
      <c r="U49" s="166">
        <f>ROUND(U43*'Attachment B1 (Last Mile)'!$G11*3,-2)</f>
        <v>0</v>
      </c>
      <c r="V49" s="166">
        <f>ROUND(V43*'Attachment B1 (Last Mile)'!$G11*12,-2)</f>
        <v>0</v>
      </c>
      <c r="W49" s="166">
        <f>ROUND(W43*'Attachment B1 (Last Mile)'!$G11*12,-2)</f>
        <v>0</v>
      </c>
      <c r="X49" s="166">
        <f>ROUND(X43*'Attachment B1 (Last Mile)'!$G11*12,-2)</f>
        <v>0</v>
      </c>
      <c r="Y49" s="166">
        <f>ROUND(Y43*'Attachment B1 (Last Mile)'!$G11*12,-2)</f>
        <v>0</v>
      </c>
      <c r="Z49" s="166">
        <f>ROUND(Z43*'Attachment B1 (Last Mile)'!$G11*12,-2)</f>
        <v>0</v>
      </c>
    </row>
    <row r="50" spans="1:26" ht="17.25">
      <c r="A50" s="172" t="str">
        <f t="shared" si="4"/>
        <v>Not applicable</v>
      </c>
      <c r="B50" s="277">
        <f>ROUND(B44*'Attachment B1 (Last Mile)'!$G12*3,-2)</f>
        <v>0</v>
      </c>
      <c r="C50" s="277">
        <f>ROUND(C44*'Attachment B1 (Last Mile)'!$G12*3,-2)</f>
        <v>0</v>
      </c>
      <c r="D50" s="277">
        <f>ROUND(D44*'Attachment B1 (Last Mile)'!$G12*3,-2)</f>
        <v>0</v>
      </c>
      <c r="E50" s="277">
        <f>ROUND(E44*'Attachment B1 (Last Mile)'!$G12*3,-2)</f>
        <v>0</v>
      </c>
      <c r="F50" s="277">
        <f>ROUND(F44*'Attachment B1 (Last Mile)'!$G12*3,-2)</f>
        <v>0</v>
      </c>
      <c r="G50" s="277">
        <f>ROUND(G44*'Attachment B1 (Last Mile)'!$G12*3,-2)</f>
        <v>0</v>
      </c>
      <c r="H50" s="277">
        <f>ROUND(H44*'Attachment B1 (Last Mile)'!$G12*3,-2)</f>
        <v>0</v>
      </c>
      <c r="I50" s="277">
        <f>ROUND(I44*'Attachment B1 (Last Mile)'!$G12*3,-2)</f>
        <v>0</v>
      </c>
      <c r="J50" s="277">
        <f>ROUND(J44*'Attachment B1 (Last Mile)'!$G12*3,-2)</f>
        <v>0</v>
      </c>
      <c r="K50" s="277">
        <f>ROUND(K44*'Attachment B1 (Last Mile)'!$G12*3,-2)</f>
        <v>0</v>
      </c>
      <c r="L50" s="277">
        <f>ROUND(L44*'Attachment B1 (Last Mile)'!$G12*3,-2)</f>
        <v>0</v>
      </c>
      <c r="M50" s="277">
        <f>ROUND(M44*'Attachment B1 (Last Mile)'!$G12*3,-2)</f>
        <v>0</v>
      </c>
      <c r="N50" s="277">
        <f>ROUND(N44*'Attachment B1 (Last Mile)'!$G12*3,-2)</f>
        <v>0</v>
      </c>
      <c r="O50" s="277">
        <f>ROUND(O44*'Attachment B1 (Last Mile)'!$G12*3,-2)</f>
        <v>0</v>
      </c>
      <c r="P50" s="277">
        <f>ROUND(P44*'Attachment B1 (Last Mile)'!$G12*3,-2)</f>
        <v>0</v>
      </c>
      <c r="Q50" s="277">
        <f>ROUND(Q44*'Attachment B1 (Last Mile)'!$G12*3,-2)</f>
        <v>0</v>
      </c>
      <c r="R50" s="277">
        <f>ROUND(R44*'Attachment B1 (Last Mile)'!$G12*3,-2)</f>
        <v>0</v>
      </c>
      <c r="S50" s="277">
        <f>ROUND(S44*'Attachment B1 (Last Mile)'!$G12*3,-2)</f>
        <v>0</v>
      </c>
      <c r="T50" s="277">
        <f>ROUND(T44*'Attachment B1 (Last Mile)'!$G12*3,-2)</f>
        <v>0</v>
      </c>
      <c r="U50" s="277">
        <f>ROUND(U44*'Attachment B1 (Last Mile)'!$G12*3,-2)</f>
        <v>0</v>
      </c>
      <c r="V50" s="277">
        <f>ROUND(V44*'Attachment B1 (Last Mile)'!$G12*12,-2)</f>
        <v>0</v>
      </c>
      <c r="W50" s="277">
        <f>ROUND(W44*'Attachment B1 (Last Mile)'!$G12*12,-2)</f>
        <v>0</v>
      </c>
      <c r="X50" s="277">
        <f>ROUND(X44*'Attachment B1 (Last Mile)'!$G12*12,-2)</f>
        <v>0</v>
      </c>
      <c r="Y50" s="277">
        <f>ROUND(Y44*'Attachment B1 (Last Mile)'!$G12*12,-2)</f>
        <v>0</v>
      </c>
      <c r="Z50" s="277">
        <f>ROUND(Z44*'Attachment B1 (Last Mile)'!$G12*12,-2)</f>
        <v>0</v>
      </c>
    </row>
    <row r="51" spans="1:26">
      <c r="A51" s="172" t="s">
        <v>329</v>
      </c>
      <c r="B51" s="179">
        <f>SUM(B46:B50)</f>
        <v>0</v>
      </c>
      <c r="C51" s="179">
        <f t="shared" ref="C51:Z51" si="5">SUM(C46:C50)</f>
        <v>0</v>
      </c>
      <c r="D51" s="179">
        <f t="shared" si="5"/>
        <v>0</v>
      </c>
      <c r="E51" s="179">
        <f t="shared" si="5"/>
        <v>600</v>
      </c>
      <c r="F51" s="179">
        <f t="shared" si="5"/>
        <v>2100</v>
      </c>
      <c r="G51" s="179">
        <f t="shared" si="5"/>
        <v>4500</v>
      </c>
      <c r="H51" s="179">
        <f t="shared" si="5"/>
        <v>7000</v>
      </c>
      <c r="I51" s="179">
        <f t="shared" si="5"/>
        <v>8900</v>
      </c>
      <c r="J51" s="179">
        <f t="shared" si="5"/>
        <v>8900</v>
      </c>
      <c r="K51" s="179">
        <f t="shared" si="5"/>
        <v>8900</v>
      </c>
      <c r="L51" s="179">
        <f t="shared" si="5"/>
        <v>8900</v>
      </c>
      <c r="M51" s="179">
        <f t="shared" si="5"/>
        <v>8900</v>
      </c>
      <c r="N51" s="179">
        <f t="shared" si="5"/>
        <v>8900</v>
      </c>
      <c r="O51" s="179">
        <f t="shared" si="5"/>
        <v>8900</v>
      </c>
      <c r="P51" s="179">
        <f t="shared" si="5"/>
        <v>8900</v>
      </c>
      <c r="Q51" s="179">
        <f t="shared" si="5"/>
        <v>8900</v>
      </c>
      <c r="R51" s="179">
        <f t="shared" si="5"/>
        <v>8900</v>
      </c>
      <c r="S51" s="179">
        <f t="shared" si="5"/>
        <v>8900</v>
      </c>
      <c r="T51" s="179">
        <f t="shared" si="5"/>
        <v>8900</v>
      </c>
      <c r="U51" s="179">
        <f t="shared" si="5"/>
        <v>8900</v>
      </c>
      <c r="V51" s="179">
        <f t="shared" si="5"/>
        <v>35500</v>
      </c>
      <c r="W51" s="179">
        <f t="shared" si="5"/>
        <v>35500</v>
      </c>
      <c r="X51" s="179">
        <f t="shared" si="5"/>
        <v>35500</v>
      </c>
      <c r="Y51" s="179">
        <f t="shared" si="5"/>
        <v>35500</v>
      </c>
      <c r="Z51" s="179">
        <f t="shared" si="5"/>
        <v>35500</v>
      </c>
    </row>
    <row r="53" spans="1:26">
      <c r="A53" t="s">
        <v>330</v>
      </c>
    </row>
    <row r="54" spans="1:26">
      <c r="A54" s="172" t="str">
        <f>+'Attachment H4 (Wholesale)'!A6</f>
        <v>100 Mbps Layer 2</v>
      </c>
      <c r="B54" s="166">
        <f>+'Attachment H4 (Wholesale)'!D8</f>
        <v>0</v>
      </c>
      <c r="C54" s="166">
        <f>+'Attachment H4 (Wholesale)'!E8</f>
        <v>0</v>
      </c>
      <c r="D54" s="166">
        <f>+'Attachment H4 (Wholesale)'!F8</f>
        <v>1</v>
      </c>
      <c r="E54" s="166">
        <f>+'Attachment H4 (Wholesale)'!G8</f>
        <v>2</v>
      </c>
      <c r="F54" s="166">
        <f>+'Attachment H4 (Wholesale)'!H8</f>
        <v>3</v>
      </c>
      <c r="G54" s="166">
        <f>+'Attachment H4 (Wholesale)'!I8</f>
        <v>4</v>
      </c>
      <c r="H54" s="166">
        <f>+'Attachment H4 (Wholesale)'!J8</f>
        <v>5</v>
      </c>
      <c r="I54" s="166">
        <f>+'Attachment H4 (Wholesale)'!K8</f>
        <v>6</v>
      </c>
      <c r="J54" s="166">
        <f>+'Attachment H4 (Wholesale)'!L8</f>
        <v>7</v>
      </c>
      <c r="K54" s="166">
        <f>+'Attachment H4 (Wholesale)'!M8</f>
        <v>8</v>
      </c>
      <c r="L54" s="166">
        <f>+'Attachment H4 (Wholesale)'!N8</f>
        <v>9</v>
      </c>
      <c r="M54" s="166">
        <f>+'Attachment H4 (Wholesale)'!O8</f>
        <v>10</v>
      </c>
      <c r="N54" s="166">
        <f>+'Attachment H4 (Wholesale)'!P8</f>
        <v>11</v>
      </c>
      <c r="O54" s="166">
        <f>+'Attachment H4 (Wholesale)'!Q8</f>
        <v>12</v>
      </c>
      <c r="P54" s="166">
        <f>+'Attachment H4 (Wholesale)'!R8</f>
        <v>13</v>
      </c>
      <c r="Q54" s="166">
        <f>+'Attachment H4 (Wholesale)'!S8</f>
        <v>14</v>
      </c>
      <c r="R54" s="166">
        <f>+'Attachment H4 (Wholesale)'!T8</f>
        <v>14</v>
      </c>
      <c r="S54" s="166">
        <f>+'Attachment H4 (Wholesale)'!U8</f>
        <v>14</v>
      </c>
      <c r="T54" s="166">
        <f>+'Attachment H4 (Wholesale)'!V8</f>
        <v>14</v>
      </c>
      <c r="U54" s="166">
        <f>+'Attachment H4 (Wholesale)'!W8</f>
        <v>14</v>
      </c>
      <c r="V54" s="166">
        <f>+'Attachment H4 (Wholesale)'!X8</f>
        <v>15</v>
      </c>
      <c r="W54" s="166">
        <f>+'Attachment H4 (Wholesale)'!Y8</f>
        <v>16</v>
      </c>
      <c r="X54" s="166">
        <f>+'Attachment H4 (Wholesale)'!Z8</f>
        <v>17</v>
      </c>
      <c r="Y54" s="166">
        <f>+'Attachment H4 (Wholesale)'!AA8</f>
        <v>18</v>
      </c>
      <c r="Z54" s="166">
        <f>+'Attachment H4 (Wholesale)'!AB8</f>
        <v>19</v>
      </c>
    </row>
    <row r="55" spans="1:26">
      <c r="A55" s="172" t="str">
        <f>+'Attachment H4 (Wholesale)'!A10</f>
        <v>1 Gps Layer 2</v>
      </c>
      <c r="B55" s="166">
        <f>+'Attachment H4 (Wholesale)'!D12</f>
        <v>0</v>
      </c>
      <c r="C55" s="166">
        <f>+'Attachment H4 (Wholesale)'!E12</f>
        <v>0</v>
      </c>
      <c r="D55" s="166">
        <f>+'Attachment H4 (Wholesale)'!F12</f>
        <v>1</v>
      </c>
      <c r="E55" s="166">
        <f>+'Attachment H4 (Wholesale)'!G12</f>
        <v>2</v>
      </c>
      <c r="F55" s="166">
        <f>+'Attachment H4 (Wholesale)'!H12</f>
        <v>0</v>
      </c>
      <c r="G55" s="166">
        <f>+'Attachment H4 (Wholesale)'!I12</f>
        <v>1</v>
      </c>
      <c r="H55" s="166">
        <f>+'Attachment H4 (Wholesale)'!J12</f>
        <v>0</v>
      </c>
      <c r="I55" s="166">
        <f>+'Attachment H4 (Wholesale)'!K12</f>
        <v>1</v>
      </c>
      <c r="J55" s="166">
        <f>+'Attachment H4 (Wholesale)'!L12</f>
        <v>2</v>
      </c>
      <c r="K55" s="166">
        <f>+'Attachment H4 (Wholesale)'!M12</f>
        <v>3</v>
      </c>
      <c r="L55" s="166">
        <f>+'Attachment H4 (Wholesale)'!N12</f>
        <v>4</v>
      </c>
      <c r="M55" s="166">
        <f>+'Attachment H4 (Wholesale)'!O12</f>
        <v>5</v>
      </c>
      <c r="N55" s="166">
        <f>+'Attachment H4 (Wholesale)'!P12</f>
        <v>6</v>
      </c>
      <c r="O55" s="166">
        <f>+'Attachment H4 (Wholesale)'!Q12</f>
        <v>7</v>
      </c>
      <c r="P55" s="166">
        <f>+'Attachment H4 (Wholesale)'!R12</f>
        <v>8</v>
      </c>
      <c r="Q55" s="166">
        <f>+'Attachment H4 (Wholesale)'!S12</f>
        <v>9</v>
      </c>
      <c r="R55" s="166">
        <f>+'Attachment H4 (Wholesale)'!T12</f>
        <v>9</v>
      </c>
      <c r="S55" s="166">
        <f>+'Attachment H4 (Wholesale)'!U12</f>
        <v>9</v>
      </c>
      <c r="T55" s="166">
        <f>+'Attachment H4 (Wholesale)'!V12</f>
        <v>9</v>
      </c>
      <c r="U55" s="166">
        <f>+'Attachment H4 (Wholesale)'!W12</f>
        <v>9</v>
      </c>
      <c r="V55" s="166">
        <f>+'Attachment H4 (Wholesale)'!X12</f>
        <v>10</v>
      </c>
      <c r="W55" s="166">
        <f>+'Attachment H4 (Wholesale)'!Y12</f>
        <v>11</v>
      </c>
      <c r="X55" s="166">
        <f>+'Attachment H4 (Wholesale)'!Z12</f>
        <v>12</v>
      </c>
      <c r="Y55" s="166">
        <f>+'Attachment H4 (Wholesale)'!AA12</f>
        <v>13</v>
      </c>
      <c r="Z55" s="166">
        <f>+'Attachment H4 (Wholesale)'!AB12</f>
        <v>14</v>
      </c>
    </row>
    <row r="56" spans="1:26">
      <c r="A56" s="172" t="str">
        <f>+'Attachment H4 (Wholesale)'!A14</f>
        <v>ISP 1 Gbps</v>
      </c>
      <c r="B56" s="166">
        <f>+'Attachment H4 (Wholesale)'!D16</f>
        <v>0</v>
      </c>
      <c r="C56" s="166">
        <f>+'Attachment H4 (Wholesale)'!E16</f>
        <v>0</v>
      </c>
      <c r="D56" s="166">
        <f>+'Attachment H4 (Wholesale)'!F16</f>
        <v>1</v>
      </c>
      <c r="E56" s="166">
        <f>+'Attachment H4 (Wholesale)'!G16</f>
        <v>2</v>
      </c>
      <c r="F56" s="166">
        <f>+'Attachment H4 (Wholesale)'!H16</f>
        <v>3</v>
      </c>
      <c r="G56" s="166">
        <f>+'Attachment H4 (Wholesale)'!I16</f>
        <v>4</v>
      </c>
      <c r="H56" s="166">
        <f>+'Attachment H4 (Wholesale)'!J16</f>
        <v>5</v>
      </c>
      <c r="I56" s="166">
        <f>+'Attachment H4 (Wholesale)'!K16</f>
        <v>6</v>
      </c>
      <c r="J56" s="166">
        <f>+'Attachment H4 (Wholesale)'!L16</f>
        <v>7</v>
      </c>
      <c r="K56" s="166">
        <f>+'Attachment H4 (Wholesale)'!M16</f>
        <v>8</v>
      </c>
      <c r="L56" s="166">
        <f>+'Attachment H4 (Wholesale)'!N16</f>
        <v>9</v>
      </c>
      <c r="M56" s="166">
        <f>+'Attachment H4 (Wholesale)'!O16</f>
        <v>10</v>
      </c>
      <c r="N56" s="166">
        <f>+'Attachment H4 (Wholesale)'!P16</f>
        <v>11</v>
      </c>
      <c r="O56" s="166">
        <f>+'Attachment H4 (Wholesale)'!Q16</f>
        <v>12</v>
      </c>
      <c r="P56" s="166">
        <f>+'Attachment H4 (Wholesale)'!R16</f>
        <v>13</v>
      </c>
      <c r="Q56" s="166">
        <f>+'Attachment H4 (Wholesale)'!S16</f>
        <v>14</v>
      </c>
      <c r="R56" s="166">
        <f>+'Attachment H4 (Wholesale)'!T16</f>
        <v>14</v>
      </c>
      <c r="S56" s="166">
        <f>+'Attachment H4 (Wholesale)'!U16</f>
        <v>14</v>
      </c>
      <c r="T56" s="166">
        <f>+'Attachment H4 (Wholesale)'!V16</f>
        <v>14</v>
      </c>
      <c r="U56" s="166">
        <f>+'Attachment H4 (Wholesale)'!W16</f>
        <v>14</v>
      </c>
      <c r="V56" s="166">
        <f>+'Attachment H4 (Wholesale)'!X16</f>
        <v>15</v>
      </c>
      <c r="W56" s="166">
        <f>+'Attachment H4 (Wholesale)'!Y16</f>
        <v>16</v>
      </c>
      <c r="X56" s="166">
        <f>+'Attachment H4 (Wholesale)'!Z16</f>
        <v>17</v>
      </c>
      <c r="Y56" s="166">
        <f>+'Attachment H4 (Wholesale)'!AA16</f>
        <v>18</v>
      </c>
      <c r="Z56" s="166">
        <f>+'Attachment H4 (Wholesale)'!AB16</f>
        <v>19</v>
      </c>
    </row>
    <row r="57" spans="1:26">
      <c r="A57" s="172" t="str">
        <f>+'Attachment H4 (Wholesale)'!A18</f>
        <v>ISP 2 Gbps</v>
      </c>
      <c r="B57" s="166">
        <f>+'Attachment H4 (Wholesale)'!D20</f>
        <v>0</v>
      </c>
      <c r="C57" s="166">
        <f>+'Attachment H4 (Wholesale)'!E20</f>
        <v>0</v>
      </c>
      <c r="D57" s="166">
        <f>+'Attachment H4 (Wholesale)'!F20</f>
        <v>1</v>
      </c>
      <c r="E57" s="166">
        <f>+'Attachment H4 (Wholesale)'!G20</f>
        <v>2</v>
      </c>
      <c r="F57" s="166">
        <f>+'Attachment H4 (Wholesale)'!H20</f>
        <v>0</v>
      </c>
      <c r="G57" s="166">
        <f>+'Attachment H4 (Wholesale)'!I20</f>
        <v>1</v>
      </c>
      <c r="H57" s="166">
        <f>+'Attachment H4 (Wholesale)'!J20</f>
        <v>2</v>
      </c>
      <c r="I57" s="166">
        <f>+'Attachment H4 (Wholesale)'!K20</f>
        <v>3</v>
      </c>
      <c r="J57" s="166">
        <f>+'Attachment H4 (Wholesale)'!L20</f>
        <v>4</v>
      </c>
      <c r="K57" s="166">
        <f>+'Attachment H4 (Wholesale)'!M20</f>
        <v>5</v>
      </c>
      <c r="L57" s="166">
        <f>+'Attachment H4 (Wholesale)'!N20</f>
        <v>6</v>
      </c>
      <c r="M57" s="166">
        <f>+'Attachment H4 (Wholesale)'!O20</f>
        <v>7</v>
      </c>
      <c r="N57" s="166">
        <f>+'Attachment H4 (Wholesale)'!P20</f>
        <v>8</v>
      </c>
      <c r="O57" s="166">
        <f>+'Attachment H4 (Wholesale)'!Q20</f>
        <v>9</v>
      </c>
      <c r="P57" s="166">
        <f>+'Attachment H4 (Wholesale)'!R20</f>
        <v>10</v>
      </c>
      <c r="Q57" s="166">
        <f>+'Attachment H4 (Wholesale)'!S20</f>
        <v>11</v>
      </c>
      <c r="R57" s="166">
        <f>+'Attachment H4 (Wholesale)'!T20</f>
        <v>11</v>
      </c>
      <c r="S57" s="166">
        <f>+'Attachment H4 (Wholesale)'!U20</f>
        <v>11</v>
      </c>
      <c r="T57" s="166">
        <f>+'Attachment H4 (Wholesale)'!V20</f>
        <v>11</v>
      </c>
      <c r="U57" s="166">
        <f>+'Attachment H4 (Wholesale)'!W20</f>
        <v>11</v>
      </c>
      <c r="V57" s="166">
        <f>+'Attachment H4 (Wholesale)'!X20</f>
        <v>12</v>
      </c>
      <c r="W57" s="166">
        <f>+'Attachment H4 (Wholesale)'!Y20</f>
        <v>13</v>
      </c>
      <c r="X57" s="166">
        <f>+'Attachment H4 (Wholesale)'!Z20</f>
        <v>14</v>
      </c>
      <c r="Y57" s="166">
        <f>+'Attachment H4 (Wholesale)'!AA20</f>
        <v>15</v>
      </c>
      <c r="Z57" s="166">
        <f>+'Attachment H4 (Wholesale)'!AB20</f>
        <v>16</v>
      </c>
    </row>
    <row r="58" spans="1:26">
      <c r="A58" s="172" t="str">
        <f>+'Attachment H4 (Wholesale)'!A22</f>
        <v>ISP 10 Gbps</v>
      </c>
      <c r="B58" s="166">
        <f>+'Attachment H4 (Wholesale)'!D24</f>
        <v>0</v>
      </c>
      <c r="C58" s="166">
        <f>+'Attachment H4 (Wholesale)'!E24</f>
        <v>0</v>
      </c>
      <c r="D58" s="166">
        <f>+'Attachment H4 (Wholesale)'!F24</f>
        <v>0</v>
      </c>
      <c r="E58" s="166">
        <f>+'Attachment H4 (Wholesale)'!G24</f>
        <v>0</v>
      </c>
      <c r="F58" s="166">
        <f>+'Attachment H4 (Wholesale)'!H24</f>
        <v>0</v>
      </c>
      <c r="G58" s="166">
        <f>+'Attachment H4 (Wholesale)'!I24</f>
        <v>0</v>
      </c>
      <c r="H58" s="166">
        <f>+'Attachment H4 (Wholesale)'!J24</f>
        <v>0</v>
      </c>
      <c r="I58" s="166">
        <f>+'Attachment H4 (Wholesale)'!K24</f>
        <v>0</v>
      </c>
      <c r="J58" s="166">
        <f>+'Attachment H4 (Wholesale)'!L24</f>
        <v>0</v>
      </c>
      <c r="K58" s="166">
        <f>+'Attachment H4 (Wholesale)'!M24</f>
        <v>0</v>
      </c>
      <c r="L58" s="166">
        <f>+'Attachment H4 (Wholesale)'!N24</f>
        <v>0</v>
      </c>
      <c r="M58" s="166">
        <f>+'Attachment H4 (Wholesale)'!O24</f>
        <v>0</v>
      </c>
      <c r="N58" s="166">
        <f>+'Attachment H4 (Wholesale)'!P24</f>
        <v>0</v>
      </c>
      <c r="O58" s="166">
        <f>+'Attachment H4 (Wholesale)'!Q24</f>
        <v>0</v>
      </c>
      <c r="P58" s="166">
        <f>+'Attachment H4 (Wholesale)'!R24</f>
        <v>0</v>
      </c>
      <c r="Q58" s="166">
        <f>+'Attachment H4 (Wholesale)'!S24</f>
        <v>0</v>
      </c>
      <c r="R58" s="166">
        <f>+'Attachment H4 (Wholesale)'!T24</f>
        <v>0</v>
      </c>
      <c r="S58" s="166">
        <f>+'Attachment H4 (Wholesale)'!U24</f>
        <v>0</v>
      </c>
      <c r="T58" s="166">
        <f>+'Attachment H4 (Wholesale)'!V24</f>
        <v>0</v>
      </c>
      <c r="U58" s="166">
        <f>+'Attachment H4 (Wholesale)'!W24</f>
        <v>0</v>
      </c>
      <c r="V58" s="166">
        <f>+'Attachment H4 (Wholesale)'!X24</f>
        <v>0</v>
      </c>
      <c r="W58" s="166">
        <f>+'Attachment H4 (Wholesale)'!Y24</f>
        <v>0</v>
      </c>
      <c r="X58" s="166">
        <f>+'Attachment H4 (Wholesale)'!Z24</f>
        <v>0</v>
      </c>
      <c r="Y58" s="166">
        <f>+'Attachment H4 (Wholesale)'!AA24</f>
        <v>0</v>
      </c>
      <c r="Z58" s="166">
        <f>+'Attachment H4 (Wholesale)'!AB24</f>
        <v>0</v>
      </c>
    </row>
    <row r="59" spans="1:26">
      <c r="A59" t="s">
        <v>353</v>
      </c>
    </row>
    <row r="60" spans="1:26">
      <c r="A60" s="172" t="str">
        <f>+A54</f>
        <v>100 Mbps Layer 2</v>
      </c>
      <c r="B60" s="179">
        <f>ROUND(B54*3*'Attachment B2 (Middle Mile)'!$F6,-2)</f>
        <v>0</v>
      </c>
      <c r="C60" s="179">
        <f>ROUND(C54*3*'Attachment B2 (Middle Mile)'!$F6,-2)</f>
        <v>0</v>
      </c>
      <c r="D60" s="179">
        <f>ROUND(D54*3*'Attachment B2 (Middle Mile)'!$F6,-2)</f>
        <v>100</v>
      </c>
      <c r="E60" s="179">
        <f>ROUND(E54*3*'Attachment B2 (Middle Mile)'!$F6,-2)</f>
        <v>100</v>
      </c>
      <c r="F60" s="179">
        <f>ROUND(F54*3*'Attachment B2 (Middle Mile)'!$F6,-2)</f>
        <v>200</v>
      </c>
      <c r="G60" s="179">
        <f>ROUND(G54*3*'Attachment B2 (Middle Mile)'!$F6,-2)</f>
        <v>200</v>
      </c>
      <c r="H60" s="179">
        <f>ROUND(H54*3*'Attachment B2 (Middle Mile)'!$F6,-2)</f>
        <v>300</v>
      </c>
      <c r="I60" s="179">
        <f>ROUND(I54*3*'Attachment B2 (Middle Mile)'!$F6,-2)</f>
        <v>400</v>
      </c>
      <c r="J60" s="179">
        <f>ROUND(J54*3*'Attachment B2 (Middle Mile)'!$F6,-2)</f>
        <v>400</v>
      </c>
      <c r="K60" s="179">
        <f>ROUND(K54*3*'Attachment B2 (Middle Mile)'!$F6,-2)</f>
        <v>500</v>
      </c>
      <c r="L60" s="179">
        <f>ROUND(L54*3*'Attachment B2 (Middle Mile)'!$F6,-2)</f>
        <v>500</v>
      </c>
      <c r="M60" s="179">
        <f>ROUND(M54*3*'Attachment B2 (Middle Mile)'!$F6,-2)</f>
        <v>600</v>
      </c>
      <c r="N60" s="179">
        <f>ROUND(N54*3*'Attachment B2 (Middle Mile)'!$F6,-2)</f>
        <v>700</v>
      </c>
      <c r="O60" s="179">
        <f>ROUND(O54*3*'Attachment B2 (Middle Mile)'!$F6,-2)</f>
        <v>700</v>
      </c>
      <c r="P60" s="179">
        <f>ROUND(P54*3*'Attachment B2 (Middle Mile)'!$F6,-2)</f>
        <v>800</v>
      </c>
      <c r="Q60" s="179">
        <f>ROUND(Q54*3*'Attachment B2 (Middle Mile)'!$F6,-2)</f>
        <v>800</v>
      </c>
      <c r="R60" s="179">
        <f>ROUND(R54*3*'Attachment B2 (Middle Mile)'!$F6,-2)</f>
        <v>800</v>
      </c>
      <c r="S60" s="179">
        <f>ROUND(S54*3*'Attachment B2 (Middle Mile)'!$F6,-2)</f>
        <v>800</v>
      </c>
      <c r="T60" s="179">
        <f>ROUND(T54*3*'Attachment B2 (Middle Mile)'!$F6,-2)</f>
        <v>800</v>
      </c>
      <c r="U60" s="179">
        <f>ROUND(U54*3*'Attachment B2 (Middle Mile)'!$F6,-2)</f>
        <v>800</v>
      </c>
      <c r="V60" s="581">
        <f>ROUND(V54*3*'Attachment B2 (Middle Mile)'!$F6,-2)</f>
        <v>900</v>
      </c>
      <c r="W60" s="581">
        <f>ROUND(W54*3*'Attachment B2 (Middle Mile)'!$F6,-2)</f>
        <v>1000</v>
      </c>
      <c r="X60" s="581">
        <f>ROUND(X54*3*'Attachment B2 (Middle Mile)'!$F6,-2)</f>
        <v>1000</v>
      </c>
      <c r="Y60" s="581">
        <f>ROUND(Y54*3*'Attachment B2 (Middle Mile)'!$F6,-2)</f>
        <v>1100</v>
      </c>
      <c r="Z60" s="581">
        <f>ROUND(Z54*3*'Attachment B2 (Middle Mile)'!$F6,-2)</f>
        <v>1100</v>
      </c>
    </row>
    <row r="61" spans="1:26">
      <c r="A61" s="172" t="str">
        <f t="shared" ref="A61:A64" si="6">+A55</f>
        <v>1 Gps Layer 2</v>
      </c>
      <c r="B61" s="166">
        <f>ROUND(B55*3*'Attachment B2 (Middle Mile)'!$F7,-2)</f>
        <v>0</v>
      </c>
      <c r="C61" s="166">
        <f>ROUND(C55*3*'Attachment B2 (Middle Mile)'!$F7,-2)</f>
        <v>0</v>
      </c>
      <c r="D61" s="166">
        <f>ROUND(D55*3*'Attachment B2 (Middle Mile)'!$F7,-2)</f>
        <v>300</v>
      </c>
      <c r="E61" s="166">
        <f>ROUND(E55*3*'Attachment B2 (Middle Mile)'!$F7,-2)</f>
        <v>600</v>
      </c>
      <c r="F61" s="166">
        <f>ROUND(F55*3*'Attachment B2 (Middle Mile)'!$F7,-2)</f>
        <v>0</v>
      </c>
      <c r="G61" s="166">
        <f>ROUND(G55*3*'Attachment B2 (Middle Mile)'!$F7,-2)</f>
        <v>300</v>
      </c>
      <c r="H61" s="166">
        <f>ROUND(H55*3*'Attachment B2 (Middle Mile)'!$F7,-2)</f>
        <v>0</v>
      </c>
      <c r="I61" s="166">
        <f>ROUND(I55*3*'Attachment B2 (Middle Mile)'!$F7,-2)</f>
        <v>300</v>
      </c>
      <c r="J61" s="166">
        <f>ROUND(J55*3*'Attachment B2 (Middle Mile)'!$F7,-2)</f>
        <v>600</v>
      </c>
      <c r="K61" s="166">
        <f>ROUND(K55*3*'Attachment B2 (Middle Mile)'!$F7,-2)</f>
        <v>900</v>
      </c>
      <c r="L61" s="166">
        <f>ROUND(L55*3*'Attachment B2 (Middle Mile)'!$F7,-2)</f>
        <v>1200</v>
      </c>
      <c r="M61" s="166">
        <f>ROUND(M55*3*'Attachment B2 (Middle Mile)'!$F7,-2)</f>
        <v>1500</v>
      </c>
      <c r="N61" s="166">
        <f>ROUND(N55*3*'Attachment B2 (Middle Mile)'!$F7,-2)</f>
        <v>1800</v>
      </c>
      <c r="O61" s="166">
        <f>ROUND(O55*3*'Attachment B2 (Middle Mile)'!$F7,-2)</f>
        <v>2100</v>
      </c>
      <c r="P61" s="166">
        <f>ROUND(P55*3*'Attachment B2 (Middle Mile)'!$F7,-2)</f>
        <v>2400</v>
      </c>
      <c r="Q61" s="166">
        <f>ROUND(Q55*3*'Attachment B2 (Middle Mile)'!$F7,-2)</f>
        <v>2700</v>
      </c>
      <c r="R61" s="166">
        <f>ROUND(R55*3*'Attachment B2 (Middle Mile)'!$F7,-2)</f>
        <v>2700</v>
      </c>
      <c r="S61" s="166">
        <f>ROUND(S55*3*'Attachment B2 (Middle Mile)'!$F7,-2)</f>
        <v>2700</v>
      </c>
      <c r="T61" s="166">
        <f>ROUND(T55*3*'Attachment B2 (Middle Mile)'!$F7,-2)</f>
        <v>2700</v>
      </c>
      <c r="U61" s="166">
        <f>ROUND(U55*3*'Attachment B2 (Middle Mile)'!$F7,-2)</f>
        <v>2700</v>
      </c>
      <c r="V61" s="579">
        <f>ROUND(V55*3*'Attachment B2 (Middle Mile)'!$F7,-2)</f>
        <v>3000</v>
      </c>
      <c r="W61" s="579">
        <f>ROUND(W55*3*'Attachment B2 (Middle Mile)'!$F7,-2)</f>
        <v>3300</v>
      </c>
      <c r="X61" s="579">
        <f>ROUND(X55*3*'Attachment B2 (Middle Mile)'!$F7,-2)</f>
        <v>3600</v>
      </c>
      <c r="Y61" s="579">
        <f>ROUND(Y55*3*'Attachment B2 (Middle Mile)'!$F7,-2)</f>
        <v>3900</v>
      </c>
      <c r="Z61" s="579">
        <f>ROUND(Z55*3*'Attachment B2 (Middle Mile)'!$F7,-2)</f>
        <v>4200</v>
      </c>
    </row>
    <row r="62" spans="1:26">
      <c r="A62" s="172" t="str">
        <f t="shared" si="6"/>
        <v>ISP 1 Gbps</v>
      </c>
      <c r="B62" s="166">
        <f>ROUND(B56*3*'Attachment B2 (Middle Mile)'!$F8,-2)</f>
        <v>0</v>
      </c>
      <c r="C62" s="166">
        <f>ROUND(C56*3*'Attachment B2 (Middle Mile)'!$F8,-2)</f>
        <v>0</v>
      </c>
      <c r="D62" s="166">
        <f>ROUND(D56*3*'Attachment B2 (Middle Mile)'!$F8,-2)</f>
        <v>3600</v>
      </c>
      <c r="E62" s="166">
        <f>ROUND(E56*3*'Attachment B2 (Middle Mile)'!$F8,-2)</f>
        <v>7200</v>
      </c>
      <c r="F62" s="166">
        <f>ROUND(F56*3*'Attachment B2 (Middle Mile)'!$F8,-2)</f>
        <v>10800</v>
      </c>
      <c r="G62" s="166">
        <f>ROUND(G56*3*'Attachment B2 (Middle Mile)'!$F8,-2)</f>
        <v>14400</v>
      </c>
      <c r="H62" s="166">
        <f>ROUND(H56*3*'Attachment B2 (Middle Mile)'!$F8,-2)</f>
        <v>18000</v>
      </c>
      <c r="I62" s="166">
        <f>ROUND(I56*3*'Attachment B2 (Middle Mile)'!$F8,-2)</f>
        <v>21600</v>
      </c>
      <c r="J62" s="166">
        <f>ROUND(J56*3*'Attachment B2 (Middle Mile)'!$F8,-2)</f>
        <v>25200</v>
      </c>
      <c r="K62" s="166">
        <f>ROUND(K56*3*'Attachment B2 (Middle Mile)'!$F8,-2)</f>
        <v>28800</v>
      </c>
      <c r="L62" s="166">
        <f>ROUND(L56*3*'Attachment B2 (Middle Mile)'!$F8,-2)</f>
        <v>32400</v>
      </c>
      <c r="M62" s="166">
        <f>ROUND(M56*3*'Attachment B2 (Middle Mile)'!$F8,-2)</f>
        <v>36000</v>
      </c>
      <c r="N62" s="166">
        <f>ROUND(N56*3*'Attachment B2 (Middle Mile)'!$F8,-2)</f>
        <v>39600</v>
      </c>
      <c r="O62" s="166">
        <f>ROUND(O56*3*'Attachment B2 (Middle Mile)'!$F8,-2)</f>
        <v>43200</v>
      </c>
      <c r="P62" s="166">
        <f>ROUND(P56*3*'Attachment B2 (Middle Mile)'!$F8,-2)</f>
        <v>46800</v>
      </c>
      <c r="Q62" s="166">
        <f>ROUND(Q56*3*'Attachment B2 (Middle Mile)'!$F8,-2)</f>
        <v>50400</v>
      </c>
      <c r="R62" s="166">
        <f>ROUND(R56*3*'Attachment B2 (Middle Mile)'!$F8,-2)</f>
        <v>50400</v>
      </c>
      <c r="S62" s="166">
        <f>ROUND(S56*3*'Attachment B2 (Middle Mile)'!$F8,-2)</f>
        <v>50400</v>
      </c>
      <c r="T62" s="166">
        <f>ROUND(T56*3*'Attachment B2 (Middle Mile)'!$F8,-2)</f>
        <v>50400</v>
      </c>
      <c r="U62" s="166">
        <f>ROUND(U56*3*'Attachment B2 (Middle Mile)'!$F8,-2)</f>
        <v>50400</v>
      </c>
      <c r="V62" s="579">
        <f>ROUND(V56*3*'Attachment B2 (Middle Mile)'!$F8,-2)</f>
        <v>54000</v>
      </c>
      <c r="W62" s="579">
        <f>ROUND(W56*3*'Attachment B2 (Middle Mile)'!$F8,-2)</f>
        <v>57600</v>
      </c>
      <c r="X62" s="579">
        <f>ROUND(X56*3*'Attachment B2 (Middle Mile)'!$F8,-2)</f>
        <v>61200</v>
      </c>
      <c r="Y62" s="579">
        <f>ROUND(Y56*3*'Attachment B2 (Middle Mile)'!$F8,-2)</f>
        <v>64800</v>
      </c>
      <c r="Z62" s="579">
        <f>ROUND(Z56*3*'Attachment B2 (Middle Mile)'!$F8,-2)</f>
        <v>68400</v>
      </c>
    </row>
    <row r="63" spans="1:26">
      <c r="A63" s="172" t="str">
        <f t="shared" si="6"/>
        <v>ISP 2 Gbps</v>
      </c>
      <c r="B63" s="166">
        <f>ROUND(B57*3*'Attachment B2 (Middle Mile)'!$F9,-2)</f>
        <v>0</v>
      </c>
      <c r="C63" s="166">
        <f>ROUND(C57*3*'Attachment B2 (Middle Mile)'!$F9,-2)</f>
        <v>0</v>
      </c>
      <c r="D63" s="166">
        <f>ROUND(D57*3*'Attachment B2 (Middle Mile)'!$F9,-2)</f>
        <v>4800</v>
      </c>
      <c r="E63" s="166">
        <f>ROUND(E57*3*'Attachment B2 (Middle Mile)'!$F9,-2)</f>
        <v>9600</v>
      </c>
      <c r="F63" s="166">
        <f>ROUND(F57*3*'Attachment B2 (Middle Mile)'!$F9,-2)</f>
        <v>0</v>
      </c>
      <c r="G63" s="166">
        <f>ROUND(G57*3*'Attachment B2 (Middle Mile)'!$F9,-2)</f>
        <v>4800</v>
      </c>
      <c r="H63" s="166">
        <f>ROUND(H57*3*'Attachment B2 (Middle Mile)'!$F9,-2)</f>
        <v>9600</v>
      </c>
      <c r="I63" s="166">
        <f>ROUND(I57*3*'Attachment B2 (Middle Mile)'!$F9,-2)</f>
        <v>14400</v>
      </c>
      <c r="J63" s="166">
        <f>ROUND(J57*3*'Attachment B2 (Middle Mile)'!$F9,-2)</f>
        <v>19200</v>
      </c>
      <c r="K63" s="166">
        <f>ROUND(K57*3*'Attachment B2 (Middle Mile)'!$F9,-2)</f>
        <v>24000</v>
      </c>
      <c r="L63" s="166">
        <f>ROUND(L57*3*'Attachment B2 (Middle Mile)'!$F9,-2)</f>
        <v>28800</v>
      </c>
      <c r="M63" s="166">
        <f>ROUND(M57*3*'Attachment B2 (Middle Mile)'!$F9,-2)</f>
        <v>33600</v>
      </c>
      <c r="N63" s="166">
        <f>ROUND(N57*3*'Attachment B2 (Middle Mile)'!$F9,-2)</f>
        <v>38400</v>
      </c>
      <c r="O63" s="166">
        <f>ROUND(O57*3*'Attachment B2 (Middle Mile)'!$F9,-2)</f>
        <v>43200</v>
      </c>
      <c r="P63" s="166">
        <f>ROUND(P57*3*'Attachment B2 (Middle Mile)'!$F9,-2)</f>
        <v>48000</v>
      </c>
      <c r="Q63" s="166">
        <f>ROUND(Q57*3*'Attachment B2 (Middle Mile)'!$F9,-2)</f>
        <v>52800</v>
      </c>
      <c r="R63" s="166">
        <f>ROUND(R57*3*'Attachment B2 (Middle Mile)'!$F9,-2)</f>
        <v>52800</v>
      </c>
      <c r="S63" s="166">
        <f>ROUND(S57*3*'Attachment B2 (Middle Mile)'!$F9,-2)</f>
        <v>52800</v>
      </c>
      <c r="T63" s="166">
        <f>ROUND(T57*3*'Attachment B2 (Middle Mile)'!$F9,-2)</f>
        <v>52800</v>
      </c>
      <c r="U63" s="166">
        <f>ROUND(U57*3*'Attachment B2 (Middle Mile)'!$F9,-2)</f>
        <v>52800</v>
      </c>
      <c r="V63" s="579">
        <f>ROUND(V57*3*'Attachment B2 (Middle Mile)'!$F9,-2)</f>
        <v>57600</v>
      </c>
      <c r="W63" s="579">
        <f>ROUND(W57*3*'Attachment B2 (Middle Mile)'!$F9,-2)</f>
        <v>62400</v>
      </c>
      <c r="X63" s="579">
        <f>ROUND(X57*3*'Attachment B2 (Middle Mile)'!$F9,-2)</f>
        <v>67200</v>
      </c>
      <c r="Y63" s="579">
        <f>ROUND(Y57*3*'Attachment B2 (Middle Mile)'!$F9,-2)</f>
        <v>72000</v>
      </c>
      <c r="Z63" s="579">
        <f>ROUND(Z57*3*'Attachment B2 (Middle Mile)'!$F9,-2)</f>
        <v>76800</v>
      </c>
    </row>
    <row r="64" spans="1:26" ht="17.25">
      <c r="A64" s="172" t="str">
        <f t="shared" si="6"/>
        <v>ISP 10 Gbps</v>
      </c>
      <c r="B64" s="277">
        <f>ROUND(B58*3*'Attachment B2 (Middle Mile)'!$F10,-2)</f>
        <v>0</v>
      </c>
      <c r="C64" s="277">
        <f>ROUND(C58*3*'Attachment B2 (Middle Mile)'!$F10,-2)</f>
        <v>0</v>
      </c>
      <c r="D64" s="277">
        <f>ROUND(D58*3*'Attachment B2 (Middle Mile)'!$F10,-2)</f>
        <v>0</v>
      </c>
      <c r="E64" s="277">
        <f>ROUND(E58*3*'Attachment B2 (Middle Mile)'!$F10,-2)</f>
        <v>0</v>
      </c>
      <c r="F64" s="277">
        <f>ROUND(F58*3*'Attachment B2 (Middle Mile)'!$F10,-2)</f>
        <v>0</v>
      </c>
      <c r="G64" s="277">
        <f>ROUND(G58*3*'Attachment B2 (Middle Mile)'!$F10,-2)</f>
        <v>0</v>
      </c>
      <c r="H64" s="277">
        <f>ROUND(H58*3*'Attachment B2 (Middle Mile)'!$F10,-2)</f>
        <v>0</v>
      </c>
      <c r="I64" s="277">
        <f>ROUND(I58*3*'Attachment B2 (Middle Mile)'!$F10,-2)</f>
        <v>0</v>
      </c>
      <c r="J64" s="277">
        <f>ROUND(J58*3*'Attachment B2 (Middle Mile)'!$F10,-2)</f>
        <v>0</v>
      </c>
      <c r="K64" s="277">
        <f>ROUND(K58*3*'Attachment B2 (Middle Mile)'!$F10,-2)</f>
        <v>0</v>
      </c>
      <c r="L64" s="277">
        <f>ROUND(L58*3*'Attachment B2 (Middle Mile)'!$F10,-2)</f>
        <v>0</v>
      </c>
      <c r="M64" s="277">
        <f>ROUND(M58*3*'Attachment B2 (Middle Mile)'!$F10,-2)</f>
        <v>0</v>
      </c>
      <c r="N64" s="277">
        <f>ROUND(N58*3*'Attachment B2 (Middle Mile)'!$F10,-2)</f>
        <v>0</v>
      </c>
      <c r="O64" s="277">
        <f>ROUND(O58*3*'Attachment B2 (Middle Mile)'!$F10,-2)</f>
        <v>0</v>
      </c>
      <c r="P64" s="277">
        <f>ROUND(P58*3*'Attachment B2 (Middle Mile)'!$F10,-2)</f>
        <v>0</v>
      </c>
      <c r="Q64" s="277">
        <f>ROUND(Q58*3*'Attachment B2 (Middle Mile)'!$F10,-2)</f>
        <v>0</v>
      </c>
      <c r="R64" s="277">
        <f>ROUND(R58*3*'Attachment B2 (Middle Mile)'!$F10,-2)</f>
        <v>0</v>
      </c>
      <c r="S64" s="277">
        <f>ROUND(S58*3*'Attachment B2 (Middle Mile)'!$F10,-2)</f>
        <v>0</v>
      </c>
      <c r="T64" s="277">
        <f>ROUND(T58*3*'Attachment B2 (Middle Mile)'!$F10,-2)</f>
        <v>0</v>
      </c>
      <c r="U64" s="277">
        <f>ROUND(U58*3*'Attachment B2 (Middle Mile)'!$F10,-2)</f>
        <v>0</v>
      </c>
      <c r="V64" s="580">
        <f>ROUND(V58*3*'Attachment B2 (Middle Mile)'!$F10,-2)</f>
        <v>0</v>
      </c>
      <c r="W64" s="580">
        <f>ROUND(W58*3*'Attachment B2 (Middle Mile)'!$F10,-2)</f>
        <v>0</v>
      </c>
      <c r="X64" s="580">
        <f>ROUND(X58*3*'Attachment B2 (Middle Mile)'!$F10,-2)</f>
        <v>0</v>
      </c>
      <c r="Y64" s="580">
        <f>ROUND(Y58*3*'Attachment B2 (Middle Mile)'!$F10,-2)</f>
        <v>0</v>
      </c>
      <c r="Z64" s="580">
        <f>ROUND(Z58*3*'Attachment B2 (Middle Mile)'!$F10,-2)</f>
        <v>0</v>
      </c>
    </row>
    <row r="65" spans="1:26">
      <c r="A65" s="172" t="s">
        <v>354</v>
      </c>
      <c r="B65" s="179">
        <f>SUM(B60:B64)</f>
        <v>0</v>
      </c>
      <c r="C65" s="179">
        <f t="shared" ref="C65:Z65" si="7">SUM(C60:C64)</f>
        <v>0</v>
      </c>
      <c r="D65" s="179">
        <f t="shared" si="7"/>
        <v>8800</v>
      </c>
      <c r="E65" s="179">
        <f t="shared" si="7"/>
        <v>17500</v>
      </c>
      <c r="F65" s="179">
        <f t="shared" si="7"/>
        <v>11000</v>
      </c>
      <c r="G65" s="179">
        <f t="shared" si="7"/>
        <v>19700</v>
      </c>
      <c r="H65" s="179">
        <f t="shared" si="7"/>
        <v>27900</v>
      </c>
      <c r="I65" s="179">
        <f t="shared" si="7"/>
        <v>36700</v>
      </c>
      <c r="J65" s="179">
        <f t="shared" si="7"/>
        <v>45400</v>
      </c>
      <c r="K65" s="179">
        <f t="shared" si="7"/>
        <v>54200</v>
      </c>
      <c r="L65" s="179">
        <f t="shared" si="7"/>
        <v>62900</v>
      </c>
      <c r="M65" s="179">
        <f t="shared" si="7"/>
        <v>71700</v>
      </c>
      <c r="N65" s="179">
        <f t="shared" si="7"/>
        <v>80500</v>
      </c>
      <c r="O65" s="179">
        <f t="shared" si="7"/>
        <v>89200</v>
      </c>
      <c r="P65" s="179">
        <f t="shared" si="7"/>
        <v>98000</v>
      </c>
      <c r="Q65" s="179">
        <f t="shared" si="7"/>
        <v>106700</v>
      </c>
      <c r="R65" s="179">
        <f t="shared" si="7"/>
        <v>106700</v>
      </c>
      <c r="S65" s="179">
        <f t="shared" si="7"/>
        <v>106700</v>
      </c>
      <c r="T65" s="179">
        <f t="shared" si="7"/>
        <v>106700</v>
      </c>
      <c r="U65" s="179">
        <f t="shared" si="7"/>
        <v>106700</v>
      </c>
      <c r="V65" s="581">
        <f t="shared" si="7"/>
        <v>115500</v>
      </c>
      <c r="W65" s="581">
        <f t="shared" si="7"/>
        <v>124300</v>
      </c>
      <c r="X65" s="581">
        <f t="shared" si="7"/>
        <v>133000</v>
      </c>
      <c r="Y65" s="581">
        <f t="shared" si="7"/>
        <v>141800</v>
      </c>
      <c r="Z65" s="581">
        <f t="shared" si="7"/>
        <v>150500</v>
      </c>
    </row>
    <row r="67" spans="1:26">
      <c r="B67" s="722" t="s">
        <v>78</v>
      </c>
      <c r="C67" s="722"/>
      <c r="D67" s="722"/>
      <c r="E67" s="722"/>
      <c r="F67" s="722" t="s">
        <v>79</v>
      </c>
      <c r="G67" s="722"/>
      <c r="H67" s="722"/>
      <c r="I67" s="722"/>
      <c r="J67" s="722" t="s">
        <v>80</v>
      </c>
      <c r="K67" s="722"/>
      <c r="L67" s="722"/>
      <c r="M67" s="722"/>
      <c r="N67" s="722" t="s">
        <v>81</v>
      </c>
      <c r="O67" s="722"/>
      <c r="P67" s="722"/>
      <c r="Q67" s="722"/>
      <c r="R67" s="722" t="s">
        <v>82</v>
      </c>
      <c r="S67" s="722"/>
      <c r="T67" s="722"/>
      <c r="U67" s="722"/>
      <c r="V67" s="723" t="s">
        <v>604</v>
      </c>
      <c r="W67" s="723"/>
      <c r="X67" s="723"/>
      <c r="Y67" s="723"/>
      <c r="Z67" s="723"/>
    </row>
    <row r="68" spans="1:26">
      <c r="A68" t="s">
        <v>359</v>
      </c>
      <c r="B68" s="161" t="s">
        <v>316</v>
      </c>
      <c r="C68" s="161" t="s">
        <v>317</v>
      </c>
      <c r="D68" s="161" t="s">
        <v>318</v>
      </c>
      <c r="E68" s="161" t="s">
        <v>319</v>
      </c>
      <c r="F68" s="161" t="s">
        <v>316</v>
      </c>
      <c r="G68" s="161" t="s">
        <v>317</v>
      </c>
      <c r="H68" s="161" t="s">
        <v>318</v>
      </c>
      <c r="I68" s="161" t="s">
        <v>319</v>
      </c>
      <c r="J68" s="161" t="s">
        <v>316</v>
      </c>
      <c r="K68" s="161" t="s">
        <v>317</v>
      </c>
      <c r="L68" s="161" t="s">
        <v>318</v>
      </c>
      <c r="M68" s="161" t="s">
        <v>319</v>
      </c>
      <c r="N68" s="161" t="s">
        <v>316</v>
      </c>
      <c r="O68" s="161" t="s">
        <v>317</v>
      </c>
      <c r="P68" s="161" t="s">
        <v>318</v>
      </c>
      <c r="Q68" s="161" t="s">
        <v>319</v>
      </c>
      <c r="R68" s="161" t="s">
        <v>316</v>
      </c>
      <c r="S68" s="161" t="s">
        <v>317</v>
      </c>
      <c r="T68" s="161" t="s">
        <v>318</v>
      </c>
      <c r="U68" s="161" t="s">
        <v>319</v>
      </c>
      <c r="V68" s="551">
        <v>6</v>
      </c>
      <c r="W68" s="551">
        <v>7</v>
      </c>
      <c r="X68" s="551">
        <v>8</v>
      </c>
      <c r="Y68" s="551">
        <v>9</v>
      </c>
      <c r="Z68" s="551">
        <v>10</v>
      </c>
    </row>
    <row r="69" spans="1:26">
      <c r="A69" s="172" t="s">
        <v>320</v>
      </c>
      <c r="B69" s="179">
        <f>+B17</f>
        <v>0</v>
      </c>
      <c r="C69" s="179">
        <f t="shared" ref="C69:Z69" si="8">+C17</f>
        <v>0</v>
      </c>
      <c r="D69" s="179">
        <f t="shared" si="8"/>
        <v>35100</v>
      </c>
      <c r="E69" s="179">
        <f t="shared" si="8"/>
        <v>70100</v>
      </c>
      <c r="F69" s="179">
        <f t="shared" si="8"/>
        <v>89300</v>
      </c>
      <c r="G69" s="179">
        <f t="shared" si="8"/>
        <v>108500</v>
      </c>
      <c r="H69" s="179">
        <f t="shared" si="8"/>
        <v>127800</v>
      </c>
      <c r="I69" s="179">
        <f t="shared" si="8"/>
        <v>146900</v>
      </c>
      <c r="J69" s="179">
        <f t="shared" si="8"/>
        <v>146900</v>
      </c>
      <c r="K69" s="179">
        <f t="shared" si="8"/>
        <v>146900</v>
      </c>
      <c r="L69" s="179">
        <f t="shared" si="8"/>
        <v>146900</v>
      </c>
      <c r="M69" s="179">
        <f t="shared" si="8"/>
        <v>146900</v>
      </c>
      <c r="N69" s="179">
        <f t="shared" si="8"/>
        <v>146900</v>
      </c>
      <c r="O69" s="179">
        <f t="shared" si="8"/>
        <v>146900</v>
      </c>
      <c r="P69" s="179">
        <f t="shared" si="8"/>
        <v>146900</v>
      </c>
      <c r="Q69" s="179">
        <f t="shared" si="8"/>
        <v>146900</v>
      </c>
      <c r="R69" s="179">
        <f t="shared" si="8"/>
        <v>146900</v>
      </c>
      <c r="S69" s="179">
        <f t="shared" si="8"/>
        <v>146900</v>
      </c>
      <c r="T69" s="179">
        <f t="shared" si="8"/>
        <v>146900</v>
      </c>
      <c r="U69" s="179">
        <f t="shared" si="8"/>
        <v>146900</v>
      </c>
      <c r="V69" s="581">
        <f t="shared" si="8"/>
        <v>587700</v>
      </c>
      <c r="W69" s="581">
        <f t="shared" si="8"/>
        <v>587700</v>
      </c>
      <c r="X69" s="581">
        <f t="shared" si="8"/>
        <v>587700</v>
      </c>
      <c r="Y69" s="581">
        <f t="shared" si="8"/>
        <v>587700</v>
      </c>
      <c r="Z69" s="581">
        <f t="shared" si="8"/>
        <v>587700</v>
      </c>
    </row>
    <row r="70" spans="1:26">
      <c r="A70" s="172" t="s">
        <v>355</v>
      </c>
      <c r="B70" s="166">
        <f>+B37</f>
        <v>0</v>
      </c>
      <c r="C70" s="166">
        <f t="shared" ref="C70:Z70" si="9">+C37</f>
        <v>0</v>
      </c>
      <c r="D70" s="166">
        <f t="shared" si="9"/>
        <v>24400</v>
      </c>
      <c r="E70" s="166">
        <f t="shared" si="9"/>
        <v>22800</v>
      </c>
      <c r="F70" s="166">
        <f t="shared" si="9"/>
        <v>36600</v>
      </c>
      <c r="G70" s="166">
        <f t="shared" si="9"/>
        <v>50500</v>
      </c>
      <c r="H70" s="166">
        <f t="shared" si="9"/>
        <v>64300</v>
      </c>
      <c r="I70" s="166">
        <f t="shared" si="9"/>
        <v>78000</v>
      </c>
      <c r="J70" s="166">
        <f t="shared" si="9"/>
        <v>78000</v>
      </c>
      <c r="K70" s="166">
        <f t="shared" si="9"/>
        <v>78000</v>
      </c>
      <c r="L70" s="166">
        <f t="shared" si="9"/>
        <v>78000</v>
      </c>
      <c r="M70" s="166">
        <f t="shared" si="9"/>
        <v>78000</v>
      </c>
      <c r="N70" s="166">
        <f t="shared" si="9"/>
        <v>78000</v>
      </c>
      <c r="O70" s="166">
        <f t="shared" si="9"/>
        <v>78000</v>
      </c>
      <c r="P70" s="166">
        <f t="shared" si="9"/>
        <v>78000</v>
      </c>
      <c r="Q70" s="166">
        <f t="shared" si="9"/>
        <v>78000</v>
      </c>
      <c r="R70" s="166">
        <f t="shared" si="9"/>
        <v>78000</v>
      </c>
      <c r="S70" s="166">
        <f t="shared" si="9"/>
        <v>78000</v>
      </c>
      <c r="T70" s="166">
        <f t="shared" si="9"/>
        <v>78000</v>
      </c>
      <c r="U70" s="166">
        <f t="shared" si="9"/>
        <v>78000</v>
      </c>
      <c r="V70" s="579">
        <f t="shared" si="9"/>
        <v>312300</v>
      </c>
      <c r="W70" s="579">
        <f t="shared" si="9"/>
        <v>312300</v>
      </c>
      <c r="X70" s="579">
        <f t="shared" si="9"/>
        <v>312300</v>
      </c>
      <c r="Y70" s="579">
        <f t="shared" si="9"/>
        <v>312300</v>
      </c>
      <c r="Z70" s="579">
        <f t="shared" si="9"/>
        <v>312300</v>
      </c>
    </row>
    <row r="71" spans="1:26">
      <c r="A71" s="172" t="s">
        <v>356</v>
      </c>
      <c r="B71" s="166">
        <f>+B51</f>
        <v>0</v>
      </c>
      <c r="C71" s="166">
        <f t="shared" ref="C71:Z71" si="10">+C51</f>
        <v>0</v>
      </c>
      <c r="D71" s="166">
        <f t="shared" si="10"/>
        <v>0</v>
      </c>
      <c r="E71" s="166">
        <f t="shared" si="10"/>
        <v>600</v>
      </c>
      <c r="F71" s="166">
        <f t="shared" si="10"/>
        <v>2100</v>
      </c>
      <c r="G71" s="166">
        <f t="shared" si="10"/>
        <v>4500</v>
      </c>
      <c r="H71" s="166">
        <f t="shared" si="10"/>
        <v>7000</v>
      </c>
      <c r="I71" s="166">
        <f t="shared" si="10"/>
        <v>8900</v>
      </c>
      <c r="J71" s="166">
        <f t="shared" si="10"/>
        <v>8900</v>
      </c>
      <c r="K71" s="166">
        <f t="shared" si="10"/>
        <v>8900</v>
      </c>
      <c r="L71" s="166">
        <f t="shared" si="10"/>
        <v>8900</v>
      </c>
      <c r="M71" s="166">
        <f t="shared" si="10"/>
        <v>8900</v>
      </c>
      <c r="N71" s="166">
        <f t="shared" si="10"/>
        <v>8900</v>
      </c>
      <c r="O71" s="166">
        <f t="shared" si="10"/>
        <v>8900</v>
      </c>
      <c r="P71" s="166">
        <f t="shared" si="10"/>
        <v>8900</v>
      </c>
      <c r="Q71" s="166">
        <f t="shared" si="10"/>
        <v>8900</v>
      </c>
      <c r="R71" s="166">
        <f t="shared" si="10"/>
        <v>8900</v>
      </c>
      <c r="S71" s="166">
        <f t="shared" si="10"/>
        <v>8900</v>
      </c>
      <c r="T71" s="166">
        <f t="shared" si="10"/>
        <v>8900</v>
      </c>
      <c r="U71" s="166">
        <f t="shared" si="10"/>
        <v>8900</v>
      </c>
      <c r="V71" s="579">
        <f t="shared" si="10"/>
        <v>35500</v>
      </c>
      <c r="W71" s="579">
        <f t="shared" si="10"/>
        <v>35500</v>
      </c>
      <c r="X71" s="579">
        <f t="shared" si="10"/>
        <v>35500</v>
      </c>
      <c r="Y71" s="579">
        <f t="shared" si="10"/>
        <v>35500</v>
      </c>
      <c r="Z71" s="579">
        <f t="shared" si="10"/>
        <v>35500</v>
      </c>
    </row>
    <row r="72" spans="1:26" ht="17.25">
      <c r="A72" s="172" t="s">
        <v>357</v>
      </c>
      <c r="B72" s="277">
        <f>+B65</f>
        <v>0</v>
      </c>
      <c r="C72" s="277">
        <f t="shared" ref="C72:Z72" si="11">+C65</f>
        <v>0</v>
      </c>
      <c r="D72" s="277">
        <f t="shared" si="11"/>
        <v>8800</v>
      </c>
      <c r="E72" s="277">
        <f t="shared" si="11"/>
        <v>17500</v>
      </c>
      <c r="F72" s="277">
        <f t="shared" si="11"/>
        <v>11000</v>
      </c>
      <c r="G72" s="277">
        <f t="shared" si="11"/>
        <v>19700</v>
      </c>
      <c r="H72" s="277">
        <f t="shared" si="11"/>
        <v>27900</v>
      </c>
      <c r="I72" s="277">
        <f t="shared" si="11"/>
        <v>36700</v>
      </c>
      <c r="J72" s="277">
        <f t="shared" si="11"/>
        <v>45400</v>
      </c>
      <c r="K72" s="277">
        <f t="shared" si="11"/>
        <v>54200</v>
      </c>
      <c r="L72" s="277">
        <f t="shared" si="11"/>
        <v>62900</v>
      </c>
      <c r="M72" s="277">
        <f t="shared" si="11"/>
        <v>71700</v>
      </c>
      <c r="N72" s="277">
        <f t="shared" si="11"/>
        <v>80500</v>
      </c>
      <c r="O72" s="277">
        <f t="shared" si="11"/>
        <v>89200</v>
      </c>
      <c r="P72" s="277">
        <f t="shared" si="11"/>
        <v>98000</v>
      </c>
      <c r="Q72" s="277">
        <f t="shared" si="11"/>
        <v>106700</v>
      </c>
      <c r="R72" s="277">
        <f t="shared" si="11"/>
        <v>106700</v>
      </c>
      <c r="S72" s="277">
        <f t="shared" si="11"/>
        <v>106700</v>
      </c>
      <c r="T72" s="277">
        <f t="shared" si="11"/>
        <v>106700</v>
      </c>
      <c r="U72" s="277">
        <f t="shared" si="11"/>
        <v>106700</v>
      </c>
      <c r="V72" s="580">
        <f t="shared" si="11"/>
        <v>115500</v>
      </c>
      <c r="W72" s="580">
        <f t="shared" si="11"/>
        <v>124300</v>
      </c>
      <c r="X72" s="580">
        <f t="shared" si="11"/>
        <v>133000</v>
      </c>
      <c r="Y72" s="580">
        <f t="shared" si="11"/>
        <v>141800</v>
      </c>
      <c r="Z72" s="580">
        <f t="shared" si="11"/>
        <v>150500</v>
      </c>
    </row>
    <row r="73" spans="1:26">
      <c r="A73" s="172" t="s">
        <v>358</v>
      </c>
      <c r="B73" s="179">
        <f>SUM(B69:B72)</f>
        <v>0</v>
      </c>
      <c r="C73" s="179">
        <f t="shared" ref="C73:Z73" si="12">SUM(C69:C72)</f>
        <v>0</v>
      </c>
      <c r="D73" s="179">
        <f t="shared" si="12"/>
        <v>68300</v>
      </c>
      <c r="E73" s="179">
        <f t="shared" si="12"/>
        <v>111000</v>
      </c>
      <c r="F73" s="179">
        <f t="shared" si="12"/>
        <v>139000</v>
      </c>
      <c r="G73" s="179">
        <f t="shared" si="12"/>
        <v>183200</v>
      </c>
      <c r="H73" s="179">
        <f t="shared" si="12"/>
        <v>227000</v>
      </c>
      <c r="I73" s="179">
        <f t="shared" si="12"/>
        <v>270500</v>
      </c>
      <c r="J73" s="179">
        <f t="shared" si="12"/>
        <v>279200</v>
      </c>
      <c r="K73" s="179">
        <f t="shared" si="12"/>
        <v>288000</v>
      </c>
      <c r="L73" s="179">
        <f t="shared" si="12"/>
        <v>296700</v>
      </c>
      <c r="M73" s="179">
        <f t="shared" si="12"/>
        <v>305500</v>
      </c>
      <c r="N73" s="179">
        <f t="shared" si="12"/>
        <v>314300</v>
      </c>
      <c r="O73" s="179">
        <f t="shared" si="12"/>
        <v>323000</v>
      </c>
      <c r="P73" s="179">
        <f t="shared" si="12"/>
        <v>331800</v>
      </c>
      <c r="Q73" s="179">
        <f t="shared" si="12"/>
        <v>340500</v>
      </c>
      <c r="R73" s="179">
        <f t="shared" si="12"/>
        <v>340500</v>
      </c>
      <c r="S73" s="179">
        <f t="shared" si="12"/>
        <v>340500</v>
      </c>
      <c r="T73" s="179">
        <f t="shared" si="12"/>
        <v>340500</v>
      </c>
      <c r="U73" s="179">
        <f t="shared" si="12"/>
        <v>340500</v>
      </c>
      <c r="V73" s="581">
        <f t="shared" si="12"/>
        <v>1051000</v>
      </c>
      <c r="W73" s="581">
        <f t="shared" si="12"/>
        <v>1059800</v>
      </c>
      <c r="X73" s="581">
        <f t="shared" si="12"/>
        <v>1068500</v>
      </c>
      <c r="Y73" s="581">
        <f t="shared" si="12"/>
        <v>1077300</v>
      </c>
      <c r="Z73" s="581">
        <f t="shared" si="12"/>
        <v>1086000</v>
      </c>
    </row>
    <row r="75" spans="1:26">
      <c r="A75" s="173" t="s">
        <v>257</v>
      </c>
      <c r="B75" s="161" t="s">
        <v>78</v>
      </c>
      <c r="C75" s="161" t="s">
        <v>79</v>
      </c>
      <c r="D75" s="161" t="s">
        <v>80</v>
      </c>
      <c r="E75" s="161" t="s">
        <v>81</v>
      </c>
      <c r="F75" s="161" t="s">
        <v>82</v>
      </c>
      <c r="G75" s="551">
        <v>6</v>
      </c>
      <c r="H75" s="551">
        <v>7</v>
      </c>
      <c r="I75" s="551">
        <v>8</v>
      </c>
      <c r="J75" s="551">
        <v>9</v>
      </c>
      <c r="K75" s="551">
        <v>10</v>
      </c>
    </row>
    <row r="76" spans="1:26">
      <c r="A76" s="172" t="str">
        <f>+A69</f>
        <v>Residential</v>
      </c>
      <c r="B76" s="179">
        <f>SUM(B69:E69)</f>
        <v>105200</v>
      </c>
      <c r="C76" s="179">
        <f>SUM(F69:I69)</f>
        <v>472500</v>
      </c>
      <c r="D76" s="179">
        <f>SUM(J69:M69)</f>
        <v>587600</v>
      </c>
      <c r="E76" s="179">
        <f>SUM(N69:Q69)</f>
        <v>587600</v>
      </c>
      <c r="F76" s="179">
        <f>SUM(R69:U69)</f>
        <v>587600</v>
      </c>
      <c r="G76" s="198">
        <f>SUM(V69)</f>
        <v>587700</v>
      </c>
      <c r="H76" s="198">
        <f t="shared" ref="H76:K79" si="13">SUM(W69)</f>
        <v>587700</v>
      </c>
      <c r="I76" s="198">
        <f t="shared" si="13"/>
        <v>587700</v>
      </c>
      <c r="J76" s="198">
        <f t="shared" si="13"/>
        <v>587700</v>
      </c>
      <c r="K76" s="198">
        <f t="shared" si="13"/>
        <v>587700</v>
      </c>
    </row>
    <row r="77" spans="1:26">
      <c r="A77" s="172" t="str">
        <f t="shared" ref="A77:A80" si="14">+A70</f>
        <v>Business</v>
      </c>
      <c r="B77" s="166">
        <f t="shared" ref="B77:B79" si="15">SUM(B70:E70)</f>
        <v>47200</v>
      </c>
      <c r="C77" s="166">
        <f t="shared" ref="C77:C79" si="16">SUM(F70:I70)</f>
        <v>229400</v>
      </c>
      <c r="D77" s="166">
        <f t="shared" ref="D77:D79" si="17">SUM(J70:M70)</f>
        <v>312000</v>
      </c>
      <c r="E77" s="166">
        <f t="shared" ref="E77:E79" si="18">SUM(N70:Q70)</f>
        <v>312000</v>
      </c>
      <c r="F77" s="166">
        <f t="shared" ref="F77:F79" si="19">SUM(R70:U70)</f>
        <v>312000</v>
      </c>
      <c r="G77" s="198">
        <f t="shared" ref="G77:G79" si="20">SUM(V70)</f>
        <v>312300</v>
      </c>
      <c r="H77" s="198">
        <f t="shared" si="13"/>
        <v>312300</v>
      </c>
      <c r="I77" s="198">
        <f t="shared" si="13"/>
        <v>312300</v>
      </c>
      <c r="J77" s="198">
        <f t="shared" si="13"/>
        <v>312300</v>
      </c>
      <c r="K77" s="198">
        <f t="shared" si="13"/>
        <v>312300</v>
      </c>
    </row>
    <row r="78" spans="1:26">
      <c r="A78" s="172" t="str">
        <f t="shared" si="14"/>
        <v>Anchor</v>
      </c>
      <c r="B78" s="166">
        <f t="shared" si="15"/>
        <v>600</v>
      </c>
      <c r="C78" s="166">
        <f t="shared" si="16"/>
        <v>22500</v>
      </c>
      <c r="D78" s="166">
        <f t="shared" si="17"/>
        <v>35600</v>
      </c>
      <c r="E78" s="166">
        <f t="shared" si="18"/>
        <v>35600</v>
      </c>
      <c r="F78" s="166">
        <f t="shared" si="19"/>
        <v>35600</v>
      </c>
      <c r="G78" s="198">
        <f t="shared" si="20"/>
        <v>35500</v>
      </c>
      <c r="H78" s="198">
        <f t="shared" si="13"/>
        <v>35500</v>
      </c>
      <c r="I78" s="198">
        <f t="shared" si="13"/>
        <v>35500</v>
      </c>
      <c r="J78" s="198">
        <f t="shared" si="13"/>
        <v>35500</v>
      </c>
      <c r="K78" s="198">
        <f t="shared" si="13"/>
        <v>35500</v>
      </c>
    </row>
    <row r="79" spans="1:26" ht="17.25">
      <c r="A79" s="172" t="str">
        <f t="shared" si="14"/>
        <v>Wholesale</v>
      </c>
      <c r="B79" s="277">
        <f t="shared" si="15"/>
        <v>26300</v>
      </c>
      <c r="C79" s="277">
        <f t="shared" si="16"/>
        <v>95300</v>
      </c>
      <c r="D79" s="277">
        <f t="shared" si="17"/>
        <v>234200</v>
      </c>
      <c r="E79" s="277">
        <f t="shared" si="18"/>
        <v>374400</v>
      </c>
      <c r="F79" s="277">
        <f t="shared" si="19"/>
        <v>426800</v>
      </c>
      <c r="G79" s="582">
        <f t="shared" si="20"/>
        <v>115500</v>
      </c>
      <c r="H79" s="582">
        <f t="shared" si="13"/>
        <v>124300</v>
      </c>
      <c r="I79" s="582">
        <f t="shared" si="13"/>
        <v>133000</v>
      </c>
      <c r="J79" s="582">
        <f t="shared" si="13"/>
        <v>141800</v>
      </c>
      <c r="K79" s="582">
        <f t="shared" si="13"/>
        <v>150500</v>
      </c>
    </row>
    <row r="80" spans="1:26">
      <c r="A80" s="172" t="str">
        <f t="shared" si="14"/>
        <v>Total All</v>
      </c>
      <c r="B80" s="179">
        <f>SUM(B76:B79)</f>
        <v>179300</v>
      </c>
      <c r="C80" s="179">
        <f t="shared" ref="C80:K80" si="21">SUM(C76:C79)</f>
        <v>819700</v>
      </c>
      <c r="D80" s="179">
        <f t="shared" si="21"/>
        <v>1169400</v>
      </c>
      <c r="E80" s="179">
        <f t="shared" si="21"/>
        <v>1309600</v>
      </c>
      <c r="F80" s="179">
        <f t="shared" si="21"/>
        <v>1362000</v>
      </c>
      <c r="G80" s="179">
        <f t="shared" si="21"/>
        <v>1051000</v>
      </c>
      <c r="H80" s="179">
        <f t="shared" si="21"/>
        <v>1059800</v>
      </c>
      <c r="I80" s="179">
        <f t="shared" si="21"/>
        <v>1068500</v>
      </c>
      <c r="J80" s="179">
        <f t="shared" si="21"/>
        <v>1077300</v>
      </c>
      <c r="K80" s="179">
        <f t="shared" si="21"/>
        <v>1086000</v>
      </c>
    </row>
    <row r="82" spans="1:26">
      <c r="B82" s="722" t="s">
        <v>78</v>
      </c>
      <c r="C82" s="722"/>
      <c r="D82" s="722"/>
      <c r="E82" s="722"/>
      <c r="F82" s="722" t="s">
        <v>79</v>
      </c>
      <c r="G82" s="722"/>
      <c r="H82" s="722"/>
      <c r="I82" s="722"/>
      <c r="J82" s="722" t="s">
        <v>80</v>
      </c>
      <c r="K82" s="722"/>
      <c r="L82" s="722"/>
      <c r="M82" s="722"/>
      <c r="N82" s="722" t="s">
        <v>81</v>
      </c>
      <c r="O82" s="722"/>
      <c r="P82" s="722"/>
      <c r="Q82" s="722"/>
      <c r="R82" s="722" t="s">
        <v>82</v>
      </c>
      <c r="S82" s="722"/>
      <c r="T82" s="722"/>
      <c r="U82" s="722"/>
      <c r="V82" s="723" t="s">
        <v>604</v>
      </c>
      <c r="W82" s="723"/>
      <c r="X82" s="723"/>
      <c r="Y82" s="723"/>
      <c r="Z82" s="723"/>
    </row>
    <row r="83" spans="1:26">
      <c r="A83" t="s">
        <v>258</v>
      </c>
      <c r="B83" s="161" t="s">
        <v>316</v>
      </c>
      <c r="C83" s="161" t="s">
        <v>317</v>
      </c>
      <c r="D83" s="161" t="s">
        <v>318</v>
      </c>
      <c r="E83" s="161" t="s">
        <v>319</v>
      </c>
      <c r="F83" s="161" t="s">
        <v>316</v>
      </c>
      <c r="G83" s="161" t="s">
        <v>317</v>
      </c>
      <c r="H83" s="161" t="s">
        <v>318</v>
      </c>
      <c r="I83" s="161" t="s">
        <v>319</v>
      </c>
      <c r="J83" s="161" t="s">
        <v>316</v>
      </c>
      <c r="K83" s="161" t="s">
        <v>317</v>
      </c>
      <c r="L83" s="161" t="s">
        <v>318</v>
      </c>
      <c r="M83" s="161" t="s">
        <v>319</v>
      </c>
      <c r="N83" s="161" t="s">
        <v>316</v>
      </c>
      <c r="O83" s="161" t="s">
        <v>317</v>
      </c>
      <c r="P83" s="161" t="s">
        <v>318</v>
      </c>
      <c r="Q83" s="161" t="s">
        <v>319</v>
      </c>
      <c r="R83" s="161" t="s">
        <v>316</v>
      </c>
      <c r="S83" s="161" t="s">
        <v>317</v>
      </c>
      <c r="T83" s="161" t="s">
        <v>318</v>
      </c>
      <c r="U83" s="161" t="s">
        <v>319</v>
      </c>
      <c r="V83" s="551">
        <v>6</v>
      </c>
      <c r="W83" s="551">
        <v>7</v>
      </c>
      <c r="X83" s="551">
        <v>8</v>
      </c>
      <c r="Y83" s="551">
        <v>9</v>
      </c>
      <c r="Z83" s="551">
        <v>10</v>
      </c>
    </row>
    <row r="84" spans="1:26">
      <c r="A84" s="172" t="str">
        <f>+A6</f>
        <v>UC2B 20/100Internet CNS</v>
      </c>
      <c r="B84" s="166">
        <f>+B6+B20+B40</f>
        <v>0</v>
      </c>
      <c r="C84" s="166">
        <f t="shared" ref="C84:V88" si="22">+C6+C20+C40</f>
        <v>0</v>
      </c>
      <c r="D84" s="166">
        <f t="shared" si="22"/>
        <v>583</v>
      </c>
      <c r="E84" s="166">
        <f t="shared" si="22"/>
        <v>1131</v>
      </c>
      <c r="F84" s="166">
        <f t="shared" si="22"/>
        <v>1452</v>
      </c>
      <c r="G84" s="166">
        <f t="shared" si="22"/>
        <v>1785</v>
      </c>
      <c r="H84" s="166">
        <f t="shared" si="22"/>
        <v>2117</v>
      </c>
      <c r="I84" s="166">
        <f t="shared" si="22"/>
        <v>2449</v>
      </c>
      <c r="J84" s="166">
        <f t="shared" si="22"/>
        <v>2449</v>
      </c>
      <c r="K84" s="166">
        <f t="shared" si="22"/>
        <v>2449</v>
      </c>
      <c r="L84" s="166">
        <f t="shared" si="22"/>
        <v>2449</v>
      </c>
      <c r="M84" s="166">
        <f t="shared" si="22"/>
        <v>2449</v>
      </c>
      <c r="N84" s="166">
        <f t="shared" si="22"/>
        <v>2449</v>
      </c>
      <c r="O84" s="166">
        <f t="shared" si="22"/>
        <v>2449</v>
      </c>
      <c r="P84" s="166">
        <f t="shared" si="22"/>
        <v>2449</v>
      </c>
      <c r="Q84" s="166">
        <f t="shared" si="22"/>
        <v>2449</v>
      </c>
      <c r="R84" s="166">
        <f t="shared" si="22"/>
        <v>2449</v>
      </c>
      <c r="S84" s="166">
        <f t="shared" si="22"/>
        <v>2449</v>
      </c>
      <c r="T84" s="166">
        <f t="shared" si="22"/>
        <v>2449</v>
      </c>
      <c r="U84" s="166">
        <f t="shared" si="22"/>
        <v>2449</v>
      </c>
      <c r="V84" s="166">
        <f t="shared" si="22"/>
        <v>2449</v>
      </c>
      <c r="W84" s="166">
        <f t="shared" ref="W84:Z88" si="23">+W6+W20+W40</f>
        <v>2449</v>
      </c>
      <c r="X84" s="166">
        <f t="shared" si="23"/>
        <v>2449</v>
      </c>
      <c r="Y84" s="166">
        <f t="shared" si="23"/>
        <v>2449</v>
      </c>
      <c r="Z84" s="166">
        <f t="shared" si="23"/>
        <v>2449</v>
      </c>
    </row>
    <row r="85" spans="1:26">
      <c r="A85" s="172" t="str">
        <f>+A7</f>
        <v>UC2B 30/100Internet CNS</v>
      </c>
      <c r="B85" s="166">
        <f t="shared" ref="B85:Q88" si="24">+B7+B21+B41</f>
        <v>0</v>
      </c>
      <c r="C85" s="166">
        <f t="shared" si="24"/>
        <v>0</v>
      </c>
      <c r="D85" s="166">
        <f t="shared" si="24"/>
        <v>19</v>
      </c>
      <c r="E85" s="166">
        <f t="shared" si="24"/>
        <v>38</v>
      </c>
      <c r="F85" s="166">
        <f t="shared" si="24"/>
        <v>55</v>
      </c>
      <c r="G85" s="166">
        <f t="shared" si="24"/>
        <v>74</v>
      </c>
      <c r="H85" s="166">
        <f t="shared" si="24"/>
        <v>93</v>
      </c>
      <c r="I85" s="166">
        <f t="shared" si="24"/>
        <v>110</v>
      </c>
      <c r="J85" s="166">
        <f t="shared" si="24"/>
        <v>110</v>
      </c>
      <c r="K85" s="166">
        <f t="shared" si="24"/>
        <v>110</v>
      </c>
      <c r="L85" s="166">
        <f t="shared" si="24"/>
        <v>110</v>
      </c>
      <c r="M85" s="166">
        <f t="shared" si="24"/>
        <v>110</v>
      </c>
      <c r="N85" s="166">
        <f t="shared" si="24"/>
        <v>110</v>
      </c>
      <c r="O85" s="166">
        <f t="shared" si="24"/>
        <v>110</v>
      </c>
      <c r="P85" s="166">
        <f t="shared" si="24"/>
        <v>110</v>
      </c>
      <c r="Q85" s="166">
        <f t="shared" si="24"/>
        <v>110</v>
      </c>
      <c r="R85" s="166">
        <f t="shared" si="22"/>
        <v>110</v>
      </c>
      <c r="S85" s="166">
        <f t="shared" si="22"/>
        <v>110</v>
      </c>
      <c r="T85" s="166">
        <f t="shared" si="22"/>
        <v>110</v>
      </c>
      <c r="U85" s="166">
        <f t="shared" si="22"/>
        <v>110</v>
      </c>
      <c r="V85" s="166">
        <f t="shared" si="22"/>
        <v>110</v>
      </c>
      <c r="W85" s="166">
        <f t="shared" si="23"/>
        <v>110</v>
      </c>
      <c r="X85" s="166">
        <f t="shared" si="23"/>
        <v>110</v>
      </c>
      <c r="Y85" s="166">
        <f t="shared" si="23"/>
        <v>110</v>
      </c>
      <c r="Z85" s="166">
        <f t="shared" si="23"/>
        <v>110</v>
      </c>
    </row>
    <row r="86" spans="1:26">
      <c r="A86" s="172" t="str">
        <f>+A8</f>
        <v>UC2B 40/100Internet CNS</v>
      </c>
      <c r="B86" s="166">
        <f t="shared" si="24"/>
        <v>0</v>
      </c>
      <c r="C86" s="166">
        <f t="shared" si="22"/>
        <v>0</v>
      </c>
      <c r="D86" s="166">
        <f t="shared" si="22"/>
        <v>7</v>
      </c>
      <c r="E86" s="166">
        <f t="shared" si="22"/>
        <v>14</v>
      </c>
      <c r="F86" s="166">
        <f t="shared" si="22"/>
        <v>24</v>
      </c>
      <c r="G86" s="166">
        <f t="shared" si="22"/>
        <v>34</v>
      </c>
      <c r="H86" s="166">
        <f t="shared" si="22"/>
        <v>45</v>
      </c>
      <c r="I86" s="166">
        <f t="shared" si="22"/>
        <v>53</v>
      </c>
      <c r="J86" s="166">
        <f t="shared" si="22"/>
        <v>53</v>
      </c>
      <c r="K86" s="166">
        <f t="shared" si="22"/>
        <v>53</v>
      </c>
      <c r="L86" s="166">
        <f t="shared" si="22"/>
        <v>53</v>
      </c>
      <c r="M86" s="166">
        <f t="shared" si="22"/>
        <v>53</v>
      </c>
      <c r="N86" s="166">
        <f t="shared" si="22"/>
        <v>53</v>
      </c>
      <c r="O86" s="166">
        <f t="shared" si="22"/>
        <v>53</v>
      </c>
      <c r="P86" s="166">
        <f t="shared" si="22"/>
        <v>53</v>
      </c>
      <c r="Q86" s="166">
        <f t="shared" si="22"/>
        <v>53</v>
      </c>
      <c r="R86" s="166">
        <f t="shared" si="22"/>
        <v>53</v>
      </c>
      <c r="S86" s="166">
        <f t="shared" si="22"/>
        <v>53</v>
      </c>
      <c r="T86" s="166">
        <f t="shared" si="22"/>
        <v>53</v>
      </c>
      <c r="U86" s="166">
        <f t="shared" si="22"/>
        <v>53</v>
      </c>
      <c r="V86" s="166">
        <f t="shared" si="22"/>
        <v>53</v>
      </c>
      <c r="W86" s="166">
        <f t="shared" si="23"/>
        <v>53</v>
      </c>
      <c r="X86" s="166">
        <f t="shared" si="23"/>
        <v>53</v>
      </c>
      <c r="Y86" s="166">
        <f t="shared" si="23"/>
        <v>53</v>
      </c>
      <c r="Z86" s="166">
        <f t="shared" si="23"/>
        <v>53</v>
      </c>
    </row>
    <row r="87" spans="1:26">
      <c r="A87" s="172" t="str">
        <f>+A9</f>
        <v>Wireless</v>
      </c>
      <c r="B87" s="166">
        <f t="shared" si="24"/>
        <v>0</v>
      </c>
      <c r="C87" s="166">
        <f t="shared" si="22"/>
        <v>0</v>
      </c>
      <c r="D87" s="166">
        <f t="shared" si="22"/>
        <v>7</v>
      </c>
      <c r="E87" s="166">
        <f t="shared" si="22"/>
        <v>14</v>
      </c>
      <c r="F87" s="166">
        <f t="shared" si="22"/>
        <v>23</v>
      </c>
      <c r="G87" s="166">
        <f t="shared" si="22"/>
        <v>32</v>
      </c>
      <c r="H87" s="166">
        <f t="shared" si="22"/>
        <v>40</v>
      </c>
      <c r="I87" s="166">
        <f t="shared" si="22"/>
        <v>47</v>
      </c>
      <c r="J87" s="166">
        <f t="shared" si="22"/>
        <v>47</v>
      </c>
      <c r="K87" s="166">
        <f t="shared" si="22"/>
        <v>47</v>
      </c>
      <c r="L87" s="166">
        <f t="shared" si="22"/>
        <v>47</v>
      </c>
      <c r="M87" s="166">
        <f t="shared" si="22"/>
        <v>47</v>
      </c>
      <c r="N87" s="166">
        <f t="shared" si="22"/>
        <v>47</v>
      </c>
      <c r="O87" s="166">
        <f t="shared" si="22"/>
        <v>47</v>
      </c>
      <c r="P87" s="166">
        <f t="shared" si="22"/>
        <v>47</v>
      </c>
      <c r="Q87" s="166">
        <f t="shared" si="22"/>
        <v>47</v>
      </c>
      <c r="R87" s="166">
        <f t="shared" si="22"/>
        <v>47</v>
      </c>
      <c r="S87" s="166">
        <f t="shared" si="22"/>
        <v>47</v>
      </c>
      <c r="T87" s="166">
        <f t="shared" si="22"/>
        <v>47</v>
      </c>
      <c r="U87" s="166">
        <f t="shared" si="22"/>
        <v>47</v>
      </c>
      <c r="V87" s="166">
        <f t="shared" si="22"/>
        <v>47</v>
      </c>
      <c r="W87" s="166">
        <f t="shared" si="23"/>
        <v>47</v>
      </c>
      <c r="X87" s="166">
        <f t="shared" si="23"/>
        <v>47</v>
      </c>
      <c r="Y87" s="166">
        <f t="shared" si="23"/>
        <v>47</v>
      </c>
      <c r="Z87" s="166">
        <f t="shared" si="23"/>
        <v>47</v>
      </c>
    </row>
    <row r="88" spans="1:26">
      <c r="A88" s="172" t="str">
        <f>+A10</f>
        <v>Not applicable</v>
      </c>
      <c r="B88" s="166">
        <f t="shared" si="24"/>
        <v>0</v>
      </c>
      <c r="C88" s="166">
        <f t="shared" si="22"/>
        <v>0</v>
      </c>
      <c r="D88" s="166">
        <f t="shared" si="22"/>
        <v>6</v>
      </c>
      <c r="E88" s="166">
        <f t="shared" si="22"/>
        <v>12</v>
      </c>
      <c r="F88" s="166">
        <f t="shared" si="22"/>
        <v>19</v>
      </c>
      <c r="G88" s="166">
        <f t="shared" si="22"/>
        <v>25</v>
      </c>
      <c r="H88" s="166">
        <f t="shared" si="22"/>
        <v>32</v>
      </c>
      <c r="I88" s="166">
        <f t="shared" si="22"/>
        <v>37</v>
      </c>
      <c r="J88" s="166">
        <f t="shared" si="22"/>
        <v>37</v>
      </c>
      <c r="K88" s="166">
        <f t="shared" si="22"/>
        <v>37</v>
      </c>
      <c r="L88" s="166">
        <f t="shared" si="22"/>
        <v>37</v>
      </c>
      <c r="M88" s="166">
        <f t="shared" si="22"/>
        <v>37</v>
      </c>
      <c r="N88" s="166">
        <f t="shared" si="22"/>
        <v>37</v>
      </c>
      <c r="O88" s="166">
        <f t="shared" si="22"/>
        <v>37</v>
      </c>
      <c r="P88" s="166">
        <f t="shared" si="22"/>
        <v>37</v>
      </c>
      <c r="Q88" s="166">
        <f t="shared" si="22"/>
        <v>37</v>
      </c>
      <c r="R88" s="166">
        <f t="shared" si="22"/>
        <v>37</v>
      </c>
      <c r="S88" s="166">
        <f t="shared" si="22"/>
        <v>37</v>
      </c>
      <c r="T88" s="166">
        <f t="shared" si="22"/>
        <v>37</v>
      </c>
      <c r="U88" s="166">
        <f t="shared" si="22"/>
        <v>37</v>
      </c>
      <c r="V88" s="166">
        <f t="shared" si="22"/>
        <v>37</v>
      </c>
      <c r="W88" s="166">
        <f t="shared" si="23"/>
        <v>37</v>
      </c>
      <c r="X88" s="166">
        <f t="shared" si="23"/>
        <v>37</v>
      </c>
      <c r="Y88" s="166">
        <f t="shared" si="23"/>
        <v>37</v>
      </c>
      <c r="Z88" s="166">
        <f t="shared" si="23"/>
        <v>37</v>
      </c>
    </row>
    <row r="89" spans="1:26">
      <c r="A89" s="172" t="str">
        <f>+A25</f>
        <v>Private VLAN 10 Mbps</v>
      </c>
      <c r="B89" s="166">
        <f>+B25</f>
        <v>0</v>
      </c>
      <c r="C89" s="166">
        <f t="shared" ref="C89:Z89" si="25">+C25</f>
        <v>0</v>
      </c>
      <c r="D89" s="166">
        <f t="shared" si="25"/>
        <v>10</v>
      </c>
      <c r="E89" s="166">
        <f t="shared" si="25"/>
        <v>0</v>
      </c>
      <c r="F89" s="166">
        <f t="shared" si="25"/>
        <v>5</v>
      </c>
      <c r="G89" s="166">
        <f t="shared" si="25"/>
        <v>10</v>
      </c>
      <c r="H89" s="166">
        <f t="shared" si="25"/>
        <v>15</v>
      </c>
      <c r="I89" s="166">
        <f t="shared" si="25"/>
        <v>20</v>
      </c>
      <c r="J89" s="166">
        <f t="shared" si="25"/>
        <v>20</v>
      </c>
      <c r="K89" s="166">
        <f t="shared" si="25"/>
        <v>20</v>
      </c>
      <c r="L89" s="166">
        <f t="shared" si="25"/>
        <v>20</v>
      </c>
      <c r="M89" s="166">
        <f t="shared" si="25"/>
        <v>20</v>
      </c>
      <c r="N89" s="166">
        <f t="shared" si="25"/>
        <v>20</v>
      </c>
      <c r="O89" s="166">
        <f t="shared" si="25"/>
        <v>20</v>
      </c>
      <c r="P89" s="166">
        <f t="shared" si="25"/>
        <v>20</v>
      </c>
      <c r="Q89" s="166">
        <f t="shared" si="25"/>
        <v>20</v>
      </c>
      <c r="R89" s="166">
        <f t="shared" si="25"/>
        <v>20</v>
      </c>
      <c r="S89" s="166">
        <f t="shared" si="25"/>
        <v>20</v>
      </c>
      <c r="T89" s="166">
        <f t="shared" si="25"/>
        <v>20</v>
      </c>
      <c r="U89" s="166">
        <f t="shared" si="25"/>
        <v>20</v>
      </c>
      <c r="V89" s="166">
        <f t="shared" si="25"/>
        <v>20</v>
      </c>
      <c r="W89" s="166">
        <f t="shared" si="25"/>
        <v>20</v>
      </c>
      <c r="X89" s="166">
        <f t="shared" si="25"/>
        <v>20</v>
      </c>
      <c r="Y89" s="166">
        <f t="shared" si="25"/>
        <v>20</v>
      </c>
      <c r="Z89" s="166">
        <f t="shared" si="25"/>
        <v>20</v>
      </c>
    </row>
    <row r="90" spans="1:26">
      <c r="A90" s="172" t="str">
        <f t="shared" ref="A90:B91" si="26">+A26</f>
        <v>Private VLAN 100 Mbps</v>
      </c>
      <c r="B90" s="166">
        <f t="shared" si="26"/>
        <v>0</v>
      </c>
      <c r="C90" s="166">
        <f t="shared" ref="C90:Z90" si="27">+C26</f>
        <v>0</v>
      </c>
      <c r="D90" s="166">
        <f t="shared" si="27"/>
        <v>2</v>
      </c>
      <c r="E90" s="166">
        <f t="shared" si="27"/>
        <v>0</v>
      </c>
      <c r="F90" s="166">
        <f t="shared" si="27"/>
        <v>1</v>
      </c>
      <c r="G90" s="166">
        <f t="shared" si="27"/>
        <v>2</v>
      </c>
      <c r="H90" s="166">
        <f t="shared" si="27"/>
        <v>3</v>
      </c>
      <c r="I90" s="166">
        <f t="shared" si="27"/>
        <v>4</v>
      </c>
      <c r="J90" s="166">
        <f t="shared" si="27"/>
        <v>4</v>
      </c>
      <c r="K90" s="166">
        <f t="shared" si="27"/>
        <v>4</v>
      </c>
      <c r="L90" s="166">
        <f t="shared" si="27"/>
        <v>4</v>
      </c>
      <c r="M90" s="166">
        <f t="shared" si="27"/>
        <v>4</v>
      </c>
      <c r="N90" s="166">
        <f t="shared" si="27"/>
        <v>4</v>
      </c>
      <c r="O90" s="166">
        <f t="shared" si="27"/>
        <v>4</v>
      </c>
      <c r="P90" s="166">
        <f t="shared" si="27"/>
        <v>4</v>
      </c>
      <c r="Q90" s="166">
        <f t="shared" si="27"/>
        <v>4</v>
      </c>
      <c r="R90" s="166">
        <f t="shared" si="27"/>
        <v>4</v>
      </c>
      <c r="S90" s="166">
        <f t="shared" si="27"/>
        <v>4</v>
      </c>
      <c r="T90" s="166">
        <f t="shared" si="27"/>
        <v>4</v>
      </c>
      <c r="U90" s="166">
        <f t="shared" si="27"/>
        <v>4</v>
      </c>
      <c r="V90" s="166">
        <f t="shared" si="27"/>
        <v>4</v>
      </c>
      <c r="W90" s="166">
        <f t="shared" si="27"/>
        <v>4</v>
      </c>
      <c r="X90" s="166">
        <f t="shared" si="27"/>
        <v>4</v>
      </c>
      <c r="Y90" s="166">
        <f t="shared" si="27"/>
        <v>4</v>
      </c>
      <c r="Z90" s="166">
        <f t="shared" si="27"/>
        <v>4</v>
      </c>
    </row>
    <row r="91" spans="1:26">
      <c r="A91" s="172" t="str">
        <f t="shared" si="26"/>
        <v>Private VLAN 1 Gbps</v>
      </c>
      <c r="B91" s="166">
        <f t="shared" si="26"/>
        <v>0</v>
      </c>
      <c r="C91" s="166">
        <f t="shared" ref="C91:Z91" si="28">+C27</f>
        <v>0</v>
      </c>
      <c r="D91" s="166">
        <f t="shared" si="28"/>
        <v>0</v>
      </c>
      <c r="E91" s="166">
        <f t="shared" si="28"/>
        <v>0</v>
      </c>
      <c r="F91" s="166">
        <f t="shared" si="28"/>
        <v>0</v>
      </c>
      <c r="G91" s="166">
        <f t="shared" si="28"/>
        <v>0</v>
      </c>
      <c r="H91" s="166">
        <f t="shared" si="28"/>
        <v>0</v>
      </c>
      <c r="I91" s="166">
        <f t="shared" si="28"/>
        <v>0</v>
      </c>
      <c r="J91" s="166">
        <f t="shared" si="28"/>
        <v>0</v>
      </c>
      <c r="K91" s="166">
        <f t="shared" si="28"/>
        <v>0</v>
      </c>
      <c r="L91" s="166">
        <f t="shared" si="28"/>
        <v>0</v>
      </c>
      <c r="M91" s="166">
        <f t="shared" si="28"/>
        <v>0</v>
      </c>
      <c r="N91" s="166">
        <f t="shared" si="28"/>
        <v>0</v>
      </c>
      <c r="O91" s="166">
        <f t="shared" si="28"/>
        <v>0</v>
      </c>
      <c r="P91" s="166">
        <f t="shared" si="28"/>
        <v>0</v>
      </c>
      <c r="Q91" s="166">
        <f t="shared" si="28"/>
        <v>0</v>
      </c>
      <c r="R91" s="166">
        <f t="shared" si="28"/>
        <v>0</v>
      </c>
      <c r="S91" s="166">
        <f t="shared" si="28"/>
        <v>0</v>
      </c>
      <c r="T91" s="166">
        <f t="shared" si="28"/>
        <v>0</v>
      </c>
      <c r="U91" s="166">
        <f t="shared" si="28"/>
        <v>0</v>
      </c>
      <c r="V91" s="166">
        <f t="shared" si="28"/>
        <v>0</v>
      </c>
      <c r="W91" s="166">
        <f t="shared" si="28"/>
        <v>0</v>
      </c>
      <c r="X91" s="166">
        <f t="shared" si="28"/>
        <v>0</v>
      </c>
      <c r="Y91" s="166">
        <f t="shared" si="28"/>
        <v>0</v>
      </c>
      <c r="Z91" s="166">
        <f t="shared" si="28"/>
        <v>0</v>
      </c>
    </row>
    <row r="92" spans="1:26">
      <c r="A92" s="172" t="str">
        <f>+A54</f>
        <v>100 Mbps Layer 2</v>
      </c>
      <c r="B92" s="166">
        <f>+B54</f>
        <v>0</v>
      </c>
      <c r="C92" s="166">
        <f t="shared" ref="C92:Z92" si="29">+C54</f>
        <v>0</v>
      </c>
      <c r="D92" s="166">
        <f t="shared" si="29"/>
        <v>1</v>
      </c>
      <c r="E92" s="166">
        <f t="shared" si="29"/>
        <v>2</v>
      </c>
      <c r="F92" s="166">
        <f t="shared" si="29"/>
        <v>3</v>
      </c>
      <c r="G92" s="166">
        <f t="shared" si="29"/>
        <v>4</v>
      </c>
      <c r="H92" s="166">
        <f t="shared" si="29"/>
        <v>5</v>
      </c>
      <c r="I92" s="166">
        <f t="shared" si="29"/>
        <v>6</v>
      </c>
      <c r="J92" s="166">
        <f t="shared" si="29"/>
        <v>7</v>
      </c>
      <c r="K92" s="166">
        <f t="shared" si="29"/>
        <v>8</v>
      </c>
      <c r="L92" s="166">
        <f t="shared" si="29"/>
        <v>9</v>
      </c>
      <c r="M92" s="166">
        <f t="shared" si="29"/>
        <v>10</v>
      </c>
      <c r="N92" s="166">
        <f t="shared" si="29"/>
        <v>11</v>
      </c>
      <c r="O92" s="166">
        <f t="shared" si="29"/>
        <v>12</v>
      </c>
      <c r="P92" s="166">
        <f t="shared" si="29"/>
        <v>13</v>
      </c>
      <c r="Q92" s="166">
        <f t="shared" si="29"/>
        <v>14</v>
      </c>
      <c r="R92" s="166">
        <f t="shared" si="29"/>
        <v>14</v>
      </c>
      <c r="S92" s="166">
        <f t="shared" si="29"/>
        <v>14</v>
      </c>
      <c r="T92" s="166">
        <f t="shared" si="29"/>
        <v>14</v>
      </c>
      <c r="U92" s="166">
        <f t="shared" si="29"/>
        <v>14</v>
      </c>
      <c r="V92" s="166">
        <f t="shared" si="29"/>
        <v>15</v>
      </c>
      <c r="W92" s="166">
        <f t="shared" si="29"/>
        <v>16</v>
      </c>
      <c r="X92" s="166">
        <f t="shared" si="29"/>
        <v>17</v>
      </c>
      <c r="Y92" s="166">
        <f t="shared" si="29"/>
        <v>18</v>
      </c>
      <c r="Z92" s="166">
        <f t="shared" si="29"/>
        <v>19</v>
      </c>
    </row>
    <row r="93" spans="1:26">
      <c r="A93" s="172" t="str">
        <f t="shared" ref="A93:B95" si="30">+A55</f>
        <v>1 Gps Layer 2</v>
      </c>
      <c r="B93" s="166">
        <f t="shared" si="30"/>
        <v>0</v>
      </c>
      <c r="C93" s="166">
        <f t="shared" ref="C93:Z93" si="31">+C55</f>
        <v>0</v>
      </c>
      <c r="D93" s="166">
        <f t="shared" si="31"/>
        <v>1</v>
      </c>
      <c r="E93" s="166">
        <f t="shared" si="31"/>
        <v>2</v>
      </c>
      <c r="F93" s="166">
        <f t="shared" si="31"/>
        <v>0</v>
      </c>
      <c r="G93" s="166">
        <f t="shared" si="31"/>
        <v>1</v>
      </c>
      <c r="H93" s="166">
        <f t="shared" si="31"/>
        <v>0</v>
      </c>
      <c r="I93" s="166">
        <f t="shared" si="31"/>
        <v>1</v>
      </c>
      <c r="J93" s="166">
        <f t="shared" si="31"/>
        <v>2</v>
      </c>
      <c r="K93" s="166">
        <f t="shared" si="31"/>
        <v>3</v>
      </c>
      <c r="L93" s="166">
        <f t="shared" si="31"/>
        <v>4</v>
      </c>
      <c r="M93" s="166">
        <f t="shared" si="31"/>
        <v>5</v>
      </c>
      <c r="N93" s="166">
        <f t="shared" si="31"/>
        <v>6</v>
      </c>
      <c r="O93" s="166">
        <f t="shared" si="31"/>
        <v>7</v>
      </c>
      <c r="P93" s="166">
        <f t="shared" si="31"/>
        <v>8</v>
      </c>
      <c r="Q93" s="166">
        <f t="shared" si="31"/>
        <v>9</v>
      </c>
      <c r="R93" s="166">
        <f t="shared" si="31"/>
        <v>9</v>
      </c>
      <c r="S93" s="166">
        <f t="shared" si="31"/>
        <v>9</v>
      </c>
      <c r="T93" s="166">
        <f t="shared" si="31"/>
        <v>9</v>
      </c>
      <c r="U93" s="166">
        <f t="shared" si="31"/>
        <v>9</v>
      </c>
      <c r="V93" s="166">
        <f t="shared" si="31"/>
        <v>10</v>
      </c>
      <c r="W93" s="166">
        <f t="shared" si="31"/>
        <v>11</v>
      </c>
      <c r="X93" s="166">
        <f t="shared" si="31"/>
        <v>12</v>
      </c>
      <c r="Y93" s="166">
        <f t="shared" si="31"/>
        <v>13</v>
      </c>
      <c r="Z93" s="166">
        <f t="shared" si="31"/>
        <v>14</v>
      </c>
    </row>
    <row r="94" spans="1:26">
      <c r="A94" s="172" t="str">
        <f t="shared" si="30"/>
        <v>ISP 1 Gbps</v>
      </c>
      <c r="B94" s="166">
        <f t="shared" si="30"/>
        <v>0</v>
      </c>
      <c r="C94" s="166">
        <f t="shared" ref="C94:Z94" si="32">+C56</f>
        <v>0</v>
      </c>
      <c r="D94" s="166">
        <f t="shared" si="32"/>
        <v>1</v>
      </c>
      <c r="E94" s="166">
        <f t="shared" si="32"/>
        <v>2</v>
      </c>
      <c r="F94" s="166">
        <f t="shared" si="32"/>
        <v>3</v>
      </c>
      <c r="G94" s="166">
        <f t="shared" si="32"/>
        <v>4</v>
      </c>
      <c r="H94" s="166">
        <f t="shared" si="32"/>
        <v>5</v>
      </c>
      <c r="I94" s="166">
        <f t="shared" si="32"/>
        <v>6</v>
      </c>
      <c r="J94" s="166">
        <f t="shared" si="32"/>
        <v>7</v>
      </c>
      <c r="K94" s="166">
        <f t="shared" si="32"/>
        <v>8</v>
      </c>
      <c r="L94" s="166">
        <f t="shared" si="32"/>
        <v>9</v>
      </c>
      <c r="M94" s="166">
        <f t="shared" si="32"/>
        <v>10</v>
      </c>
      <c r="N94" s="166">
        <f t="shared" si="32"/>
        <v>11</v>
      </c>
      <c r="O94" s="166">
        <f t="shared" si="32"/>
        <v>12</v>
      </c>
      <c r="P94" s="166">
        <f t="shared" si="32"/>
        <v>13</v>
      </c>
      <c r="Q94" s="166">
        <f t="shared" si="32"/>
        <v>14</v>
      </c>
      <c r="R94" s="166">
        <f t="shared" si="32"/>
        <v>14</v>
      </c>
      <c r="S94" s="166">
        <f t="shared" si="32"/>
        <v>14</v>
      </c>
      <c r="T94" s="166">
        <f t="shared" si="32"/>
        <v>14</v>
      </c>
      <c r="U94" s="166">
        <f t="shared" si="32"/>
        <v>14</v>
      </c>
      <c r="V94" s="166">
        <f t="shared" si="32"/>
        <v>15</v>
      </c>
      <c r="W94" s="166">
        <f t="shared" si="32"/>
        <v>16</v>
      </c>
      <c r="X94" s="166">
        <f t="shared" si="32"/>
        <v>17</v>
      </c>
      <c r="Y94" s="166">
        <f t="shared" si="32"/>
        <v>18</v>
      </c>
      <c r="Z94" s="166">
        <f t="shared" si="32"/>
        <v>19</v>
      </c>
    </row>
    <row r="95" spans="1:26">
      <c r="A95" s="172" t="str">
        <f t="shared" si="30"/>
        <v>ISP 2 Gbps</v>
      </c>
      <c r="B95" s="166">
        <f t="shared" si="30"/>
        <v>0</v>
      </c>
      <c r="C95" s="166">
        <f t="shared" ref="C95:Z95" si="33">+C57</f>
        <v>0</v>
      </c>
      <c r="D95" s="166">
        <f t="shared" si="33"/>
        <v>1</v>
      </c>
      <c r="E95" s="166">
        <f t="shared" si="33"/>
        <v>2</v>
      </c>
      <c r="F95" s="166">
        <f t="shared" si="33"/>
        <v>0</v>
      </c>
      <c r="G95" s="166">
        <f t="shared" si="33"/>
        <v>1</v>
      </c>
      <c r="H95" s="166">
        <f t="shared" si="33"/>
        <v>2</v>
      </c>
      <c r="I95" s="166">
        <f t="shared" si="33"/>
        <v>3</v>
      </c>
      <c r="J95" s="166">
        <f t="shared" si="33"/>
        <v>4</v>
      </c>
      <c r="K95" s="166">
        <f t="shared" si="33"/>
        <v>5</v>
      </c>
      <c r="L95" s="166">
        <f t="shared" si="33"/>
        <v>6</v>
      </c>
      <c r="M95" s="166">
        <f t="shared" si="33"/>
        <v>7</v>
      </c>
      <c r="N95" s="166">
        <f t="shared" si="33"/>
        <v>8</v>
      </c>
      <c r="O95" s="166">
        <f t="shared" si="33"/>
        <v>9</v>
      </c>
      <c r="P95" s="166">
        <f t="shared" si="33"/>
        <v>10</v>
      </c>
      <c r="Q95" s="166">
        <f t="shared" si="33"/>
        <v>11</v>
      </c>
      <c r="R95" s="166">
        <f t="shared" si="33"/>
        <v>11</v>
      </c>
      <c r="S95" s="166">
        <f t="shared" si="33"/>
        <v>11</v>
      </c>
      <c r="T95" s="166">
        <f t="shared" si="33"/>
        <v>11</v>
      </c>
      <c r="U95" s="166">
        <f t="shared" si="33"/>
        <v>11</v>
      </c>
      <c r="V95" s="166">
        <f t="shared" si="33"/>
        <v>12</v>
      </c>
      <c r="W95" s="166">
        <f t="shared" si="33"/>
        <v>13</v>
      </c>
      <c r="X95" s="166">
        <f t="shared" si="33"/>
        <v>14</v>
      </c>
      <c r="Y95" s="166">
        <f t="shared" si="33"/>
        <v>15</v>
      </c>
      <c r="Z95" s="166">
        <f t="shared" si="33"/>
        <v>16</v>
      </c>
    </row>
    <row r="96" spans="1:26" ht="17.25">
      <c r="A96" s="172" t="str">
        <f>+A58</f>
        <v>ISP 10 Gbps</v>
      </c>
      <c r="B96" s="277">
        <f t="shared" ref="B96:Z96" si="34">+B58</f>
        <v>0</v>
      </c>
      <c r="C96" s="277">
        <f t="shared" si="34"/>
        <v>0</v>
      </c>
      <c r="D96" s="277">
        <f t="shared" si="34"/>
        <v>0</v>
      </c>
      <c r="E96" s="277">
        <f t="shared" si="34"/>
        <v>0</v>
      </c>
      <c r="F96" s="277">
        <f t="shared" si="34"/>
        <v>0</v>
      </c>
      <c r="G96" s="277">
        <f t="shared" si="34"/>
        <v>0</v>
      </c>
      <c r="H96" s="277">
        <f t="shared" si="34"/>
        <v>0</v>
      </c>
      <c r="I96" s="277">
        <f t="shared" si="34"/>
        <v>0</v>
      </c>
      <c r="J96" s="277">
        <f t="shared" si="34"/>
        <v>0</v>
      </c>
      <c r="K96" s="277">
        <f t="shared" si="34"/>
        <v>0</v>
      </c>
      <c r="L96" s="277">
        <f t="shared" si="34"/>
        <v>0</v>
      </c>
      <c r="M96" s="277">
        <f t="shared" si="34"/>
        <v>0</v>
      </c>
      <c r="N96" s="277">
        <f t="shared" si="34"/>
        <v>0</v>
      </c>
      <c r="O96" s="277">
        <f t="shared" si="34"/>
        <v>0</v>
      </c>
      <c r="P96" s="277">
        <f t="shared" si="34"/>
        <v>0</v>
      </c>
      <c r="Q96" s="277">
        <f t="shared" si="34"/>
        <v>0</v>
      </c>
      <c r="R96" s="277">
        <f t="shared" si="34"/>
        <v>0</v>
      </c>
      <c r="S96" s="277">
        <f t="shared" si="34"/>
        <v>0</v>
      </c>
      <c r="T96" s="277">
        <f t="shared" si="34"/>
        <v>0</v>
      </c>
      <c r="U96" s="277">
        <f t="shared" si="34"/>
        <v>0</v>
      </c>
      <c r="V96" s="277">
        <f t="shared" si="34"/>
        <v>0</v>
      </c>
      <c r="W96" s="277">
        <f t="shared" si="34"/>
        <v>0</v>
      </c>
      <c r="X96" s="277">
        <f t="shared" si="34"/>
        <v>0</v>
      </c>
      <c r="Y96" s="277">
        <f t="shared" si="34"/>
        <v>0</v>
      </c>
      <c r="Z96" s="277">
        <f t="shared" si="34"/>
        <v>0</v>
      </c>
    </row>
    <row r="97" spans="1:26">
      <c r="A97" s="172" t="s">
        <v>220</v>
      </c>
      <c r="B97" s="166">
        <f>SUM(B84:B96)</f>
        <v>0</v>
      </c>
      <c r="C97" s="166">
        <f t="shared" ref="C97:Z97" si="35">SUM(C84:C96)</f>
        <v>0</v>
      </c>
      <c r="D97" s="166">
        <f t="shared" si="35"/>
        <v>638</v>
      </c>
      <c r="E97" s="166">
        <f t="shared" si="35"/>
        <v>1217</v>
      </c>
      <c r="F97" s="166">
        <f t="shared" si="35"/>
        <v>1585</v>
      </c>
      <c r="G97" s="166">
        <f t="shared" si="35"/>
        <v>1972</v>
      </c>
      <c r="H97" s="166">
        <f t="shared" si="35"/>
        <v>2357</v>
      </c>
      <c r="I97" s="166">
        <f t="shared" si="35"/>
        <v>2736</v>
      </c>
      <c r="J97" s="166">
        <f t="shared" si="35"/>
        <v>2740</v>
      </c>
      <c r="K97" s="166">
        <f t="shared" si="35"/>
        <v>2744</v>
      </c>
      <c r="L97" s="166">
        <f t="shared" si="35"/>
        <v>2748</v>
      </c>
      <c r="M97" s="166">
        <f t="shared" si="35"/>
        <v>2752</v>
      </c>
      <c r="N97" s="166">
        <f t="shared" si="35"/>
        <v>2756</v>
      </c>
      <c r="O97" s="166">
        <f t="shared" si="35"/>
        <v>2760</v>
      </c>
      <c r="P97" s="166">
        <f t="shared" si="35"/>
        <v>2764</v>
      </c>
      <c r="Q97" s="166">
        <f t="shared" si="35"/>
        <v>2768</v>
      </c>
      <c r="R97" s="166">
        <f t="shared" si="35"/>
        <v>2768</v>
      </c>
      <c r="S97" s="166">
        <f t="shared" si="35"/>
        <v>2768</v>
      </c>
      <c r="T97" s="166">
        <f t="shared" si="35"/>
        <v>2768</v>
      </c>
      <c r="U97" s="166">
        <f t="shared" si="35"/>
        <v>2768</v>
      </c>
      <c r="V97" s="166">
        <f t="shared" si="35"/>
        <v>2772</v>
      </c>
      <c r="W97" s="166">
        <f t="shared" si="35"/>
        <v>2776</v>
      </c>
      <c r="X97" s="166">
        <f t="shared" si="35"/>
        <v>2780</v>
      </c>
      <c r="Y97" s="166">
        <f t="shared" si="35"/>
        <v>2784</v>
      </c>
      <c r="Z97" s="166">
        <f t="shared" si="35"/>
        <v>2788</v>
      </c>
    </row>
    <row r="99" spans="1:26" s="545" customFormat="1">
      <c r="A99" s="545" t="s">
        <v>259</v>
      </c>
      <c r="B99" s="577" t="s">
        <v>78</v>
      </c>
      <c r="C99" s="577" t="s">
        <v>79</v>
      </c>
      <c r="D99" s="577" t="s">
        <v>80</v>
      </c>
      <c r="E99" s="577" t="s">
        <v>81</v>
      </c>
      <c r="F99" s="577" t="s">
        <v>82</v>
      </c>
      <c r="G99" s="577" t="s">
        <v>580</v>
      </c>
      <c r="H99" s="577" t="s">
        <v>581</v>
      </c>
      <c r="I99" s="577" t="s">
        <v>582</v>
      </c>
      <c r="J99" s="577" t="s">
        <v>583</v>
      </c>
      <c r="K99" s="577" t="s">
        <v>584</v>
      </c>
      <c r="L99" s="577"/>
    </row>
    <row r="100" spans="1:26" s="545" customFormat="1">
      <c r="A100" s="578" t="str">
        <f>+A84</f>
        <v>UC2B 20/100Internet CNS</v>
      </c>
      <c r="B100" s="579">
        <f>+E84</f>
        <v>1131</v>
      </c>
      <c r="C100" s="579">
        <f>+I84</f>
        <v>2449</v>
      </c>
      <c r="D100" s="579">
        <f>+M84</f>
        <v>2449</v>
      </c>
      <c r="E100" s="579">
        <f>+Q84</f>
        <v>2449</v>
      </c>
      <c r="F100" s="579">
        <f>+U84</f>
        <v>2449</v>
      </c>
      <c r="G100" s="579">
        <f>SUM(V84)</f>
        <v>2449</v>
      </c>
      <c r="H100" s="579">
        <f t="shared" ref="H100:K112" si="36">SUM(W84)</f>
        <v>2449</v>
      </c>
      <c r="I100" s="579">
        <f t="shared" si="36"/>
        <v>2449</v>
      </c>
      <c r="J100" s="579">
        <f t="shared" si="36"/>
        <v>2449</v>
      </c>
      <c r="K100" s="579">
        <f t="shared" si="36"/>
        <v>2449</v>
      </c>
      <c r="L100" s="579"/>
    </row>
    <row r="101" spans="1:26" s="545" customFormat="1">
      <c r="A101" s="578" t="str">
        <f t="shared" ref="A101:A113" si="37">+A85</f>
        <v>UC2B 30/100Internet CNS</v>
      </c>
      <c r="B101" s="579">
        <f t="shared" ref="B101:B112" si="38">+E85</f>
        <v>38</v>
      </c>
      <c r="C101" s="579">
        <f t="shared" ref="C101:C112" si="39">+I85</f>
        <v>110</v>
      </c>
      <c r="D101" s="579">
        <f t="shared" ref="D101:D112" si="40">+M85</f>
        <v>110</v>
      </c>
      <c r="E101" s="579">
        <f t="shared" ref="E101:E112" si="41">+Q85</f>
        <v>110</v>
      </c>
      <c r="F101" s="579">
        <f t="shared" ref="F101:F112" si="42">+U85</f>
        <v>110</v>
      </c>
      <c r="G101" s="579">
        <f t="shared" ref="G101:G112" si="43">SUM(V85)</f>
        <v>110</v>
      </c>
      <c r="H101" s="579">
        <f t="shared" si="36"/>
        <v>110</v>
      </c>
      <c r="I101" s="579">
        <f t="shared" si="36"/>
        <v>110</v>
      </c>
      <c r="J101" s="579">
        <f t="shared" si="36"/>
        <v>110</v>
      </c>
      <c r="K101" s="579">
        <f t="shared" si="36"/>
        <v>110</v>
      </c>
      <c r="L101" s="579"/>
    </row>
    <row r="102" spans="1:26" s="545" customFormat="1">
      <c r="A102" s="578" t="str">
        <f t="shared" si="37"/>
        <v>UC2B 40/100Internet CNS</v>
      </c>
      <c r="B102" s="579">
        <f t="shared" si="38"/>
        <v>14</v>
      </c>
      <c r="C102" s="579">
        <f t="shared" si="39"/>
        <v>53</v>
      </c>
      <c r="D102" s="579">
        <f t="shared" si="40"/>
        <v>53</v>
      </c>
      <c r="E102" s="579">
        <f t="shared" si="41"/>
        <v>53</v>
      </c>
      <c r="F102" s="579">
        <f t="shared" si="42"/>
        <v>53</v>
      </c>
      <c r="G102" s="579">
        <f t="shared" si="43"/>
        <v>53</v>
      </c>
      <c r="H102" s="579">
        <f t="shared" si="36"/>
        <v>53</v>
      </c>
      <c r="I102" s="579">
        <f t="shared" si="36"/>
        <v>53</v>
      </c>
      <c r="J102" s="579">
        <f t="shared" si="36"/>
        <v>53</v>
      </c>
      <c r="K102" s="579">
        <f t="shared" si="36"/>
        <v>53</v>
      </c>
      <c r="L102" s="579"/>
    </row>
    <row r="103" spans="1:26" s="545" customFormat="1">
      <c r="A103" s="578" t="str">
        <f t="shared" si="37"/>
        <v>Wireless</v>
      </c>
      <c r="B103" s="579">
        <f t="shared" si="38"/>
        <v>14</v>
      </c>
      <c r="C103" s="579">
        <f t="shared" si="39"/>
        <v>47</v>
      </c>
      <c r="D103" s="579">
        <f t="shared" si="40"/>
        <v>47</v>
      </c>
      <c r="E103" s="579">
        <f t="shared" si="41"/>
        <v>47</v>
      </c>
      <c r="F103" s="579">
        <f t="shared" si="42"/>
        <v>47</v>
      </c>
      <c r="G103" s="579">
        <f t="shared" si="43"/>
        <v>47</v>
      </c>
      <c r="H103" s="579">
        <f t="shared" si="36"/>
        <v>47</v>
      </c>
      <c r="I103" s="579">
        <f t="shared" si="36"/>
        <v>47</v>
      </c>
      <c r="J103" s="579">
        <f t="shared" si="36"/>
        <v>47</v>
      </c>
      <c r="K103" s="579">
        <f t="shared" si="36"/>
        <v>47</v>
      </c>
      <c r="L103" s="579"/>
    </row>
    <row r="104" spans="1:26" s="545" customFormat="1">
      <c r="A104" s="578" t="str">
        <f t="shared" si="37"/>
        <v>Not applicable</v>
      </c>
      <c r="B104" s="579">
        <f t="shared" si="38"/>
        <v>12</v>
      </c>
      <c r="C104" s="579">
        <f t="shared" si="39"/>
        <v>37</v>
      </c>
      <c r="D104" s="579">
        <f t="shared" si="40"/>
        <v>37</v>
      </c>
      <c r="E104" s="579">
        <f t="shared" si="41"/>
        <v>37</v>
      </c>
      <c r="F104" s="579">
        <f t="shared" si="42"/>
        <v>37</v>
      </c>
      <c r="G104" s="579">
        <f t="shared" si="43"/>
        <v>37</v>
      </c>
      <c r="H104" s="579">
        <f t="shared" si="36"/>
        <v>37</v>
      </c>
      <c r="I104" s="579">
        <f t="shared" si="36"/>
        <v>37</v>
      </c>
      <c r="J104" s="579">
        <f t="shared" si="36"/>
        <v>37</v>
      </c>
      <c r="K104" s="579">
        <f t="shared" si="36"/>
        <v>37</v>
      </c>
      <c r="L104" s="579"/>
    </row>
    <row r="105" spans="1:26" s="545" customFormat="1">
      <c r="A105" s="578" t="str">
        <f t="shared" si="37"/>
        <v>Private VLAN 10 Mbps</v>
      </c>
      <c r="B105" s="579">
        <f t="shared" si="38"/>
        <v>0</v>
      </c>
      <c r="C105" s="579">
        <f t="shared" si="39"/>
        <v>20</v>
      </c>
      <c r="D105" s="579">
        <f t="shared" si="40"/>
        <v>20</v>
      </c>
      <c r="E105" s="579">
        <f t="shared" si="41"/>
        <v>20</v>
      </c>
      <c r="F105" s="579">
        <f t="shared" si="42"/>
        <v>20</v>
      </c>
      <c r="G105" s="579">
        <f t="shared" si="43"/>
        <v>20</v>
      </c>
      <c r="H105" s="579">
        <f t="shared" si="36"/>
        <v>20</v>
      </c>
      <c r="I105" s="579">
        <f t="shared" si="36"/>
        <v>20</v>
      </c>
      <c r="J105" s="579">
        <f t="shared" si="36"/>
        <v>20</v>
      </c>
      <c r="K105" s="579">
        <f t="shared" si="36"/>
        <v>20</v>
      </c>
      <c r="L105" s="579"/>
    </row>
    <row r="106" spans="1:26" s="545" customFormat="1">
      <c r="A106" s="578" t="str">
        <f t="shared" si="37"/>
        <v>Private VLAN 100 Mbps</v>
      </c>
      <c r="B106" s="579">
        <f t="shared" si="38"/>
        <v>0</v>
      </c>
      <c r="C106" s="579">
        <f t="shared" si="39"/>
        <v>4</v>
      </c>
      <c r="D106" s="579">
        <f t="shared" si="40"/>
        <v>4</v>
      </c>
      <c r="E106" s="579">
        <f t="shared" si="41"/>
        <v>4</v>
      </c>
      <c r="F106" s="579">
        <f t="shared" si="42"/>
        <v>4</v>
      </c>
      <c r="G106" s="579">
        <f t="shared" si="43"/>
        <v>4</v>
      </c>
      <c r="H106" s="579">
        <f t="shared" si="36"/>
        <v>4</v>
      </c>
      <c r="I106" s="579">
        <f t="shared" si="36"/>
        <v>4</v>
      </c>
      <c r="J106" s="579">
        <f t="shared" si="36"/>
        <v>4</v>
      </c>
      <c r="K106" s="579">
        <f t="shared" si="36"/>
        <v>4</v>
      </c>
      <c r="L106" s="579"/>
    </row>
    <row r="107" spans="1:26" s="545" customFormat="1">
      <c r="A107" s="578" t="str">
        <f t="shared" si="37"/>
        <v>Private VLAN 1 Gbps</v>
      </c>
      <c r="B107" s="579">
        <f t="shared" si="38"/>
        <v>0</v>
      </c>
      <c r="C107" s="579">
        <f t="shared" si="39"/>
        <v>0</v>
      </c>
      <c r="D107" s="579">
        <f t="shared" si="40"/>
        <v>0</v>
      </c>
      <c r="E107" s="579">
        <f t="shared" si="41"/>
        <v>0</v>
      </c>
      <c r="F107" s="579">
        <f t="shared" si="42"/>
        <v>0</v>
      </c>
      <c r="G107" s="579">
        <f t="shared" si="43"/>
        <v>0</v>
      </c>
      <c r="H107" s="579">
        <f t="shared" si="36"/>
        <v>0</v>
      </c>
      <c r="I107" s="579">
        <f t="shared" si="36"/>
        <v>0</v>
      </c>
      <c r="J107" s="579">
        <f t="shared" si="36"/>
        <v>0</v>
      </c>
      <c r="K107" s="579">
        <f t="shared" si="36"/>
        <v>0</v>
      </c>
      <c r="L107" s="579"/>
    </row>
    <row r="108" spans="1:26" s="545" customFormat="1">
      <c r="A108" s="578" t="str">
        <f t="shared" si="37"/>
        <v>100 Mbps Layer 2</v>
      </c>
      <c r="B108" s="579">
        <f t="shared" si="38"/>
        <v>2</v>
      </c>
      <c r="C108" s="579">
        <f t="shared" si="39"/>
        <v>6</v>
      </c>
      <c r="D108" s="579">
        <f t="shared" si="40"/>
        <v>10</v>
      </c>
      <c r="E108" s="579">
        <f t="shared" si="41"/>
        <v>14</v>
      </c>
      <c r="F108" s="579">
        <f t="shared" si="42"/>
        <v>14</v>
      </c>
      <c r="G108" s="579">
        <f t="shared" si="43"/>
        <v>15</v>
      </c>
      <c r="H108" s="579">
        <f t="shared" si="36"/>
        <v>16</v>
      </c>
      <c r="I108" s="579">
        <f t="shared" si="36"/>
        <v>17</v>
      </c>
      <c r="J108" s="579">
        <f t="shared" si="36"/>
        <v>18</v>
      </c>
      <c r="K108" s="579">
        <f t="shared" si="36"/>
        <v>19</v>
      </c>
      <c r="L108" s="579"/>
    </row>
    <row r="109" spans="1:26" s="545" customFormat="1">
      <c r="A109" s="578" t="str">
        <f t="shared" si="37"/>
        <v>1 Gps Layer 2</v>
      </c>
      <c r="B109" s="579">
        <f t="shared" si="38"/>
        <v>2</v>
      </c>
      <c r="C109" s="579">
        <f t="shared" si="39"/>
        <v>1</v>
      </c>
      <c r="D109" s="579">
        <f t="shared" si="40"/>
        <v>5</v>
      </c>
      <c r="E109" s="579">
        <f t="shared" si="41"/>
        <v>9</v>
      </c>
      <c r="F109" s="579">
        <f t="shared" si="42"/>
        <v>9</v>
      </c>
      <c r="G109" s="579">
        <f t="shared" si="43"/>
        <v>10</v>
      </c>
      <c r="H109" s="579">
        <f t="shared" si="36"/>
        <v>11</v>
      </c>
      <c r="I109" s="579">
        <f t="shared" si="36"/>
        <v>12</v>
      </c>
      <c r="J109" s="579">
        <f t="shared" si="36"/>
        <v>13</v>
      </c>
      <c r="K109" s="579">
        <f t="shared" si="36"/>
        <v>14</v>
      </c>
      <c r="L109" s="579"/>
    </row>
    <row r="110" spans="1:26" s="545" customFormat="1">
      <c r="A110" s="578" t="str">
        <f t="shared" si="37"/>
        <v>ISP 1 Gbps</v>
      </c>
      <c r="B110" s="579">
        <f t="shared" si="38"/>
        <v>2</v>
      </c>
      <c r="C110" s="579">
        <f t="shared" si="39"/>
        <v>6</v>
      </c>
      <c r="D110" s="579">
        <f t="shared" si="40"/>
        <v>10</v>
      </c>
      <c r="E110" s="579">
        <f t="shared" si="41"/>
        <v>14</v>
      </c>
      <c r="F110" s="579">
        <f t="shared" si="42"/>
        <v>14</v>
      </c>
      <c r="G110" s="579">
        <f t="shared" si="43"/>
        <v>15</v>
      </c>
      <c r="H110" s="579">
        <f t="shared" si="36"/>
        <v>16</v>
      </c>
      <c r="I110" s="579">
        <f t="shared" si="36"/>
        <v>17</v>
      </c>
      <c r="J110" s="579">
        <f t="shared" si="36"/>
        <v>18</v>
      </c>
      <c r="K110" s="579">
        <f t="shared" si="36"/>
        <v>19</v>
      </c>
      <c r="L110" s="579"/>
    </row>
    <row r="111" spans="1:26" s="545" customFormat="1">
      <c r="A111" s="578" t="str">
        <f t="shared" si="37"/>
        <v>ISP 2 Gbps</v>
      </c>
      <c r="B111" s="579">
        <f t="shared" si="38"/>
        <v>2</v>
      </c>
      <c r="C111" s="579">
        <f t="shared" si="39"/>
        <v>3</v>
      </c>
      <c r="D111" s="579">
        <f t="shared" si="40"/>
        <v>7</v>
      </c>
      <c r="E111" s="579">
        <f t="shared" si="41"/>
        <v>11</v>
      </c>
      <c r="F111" s="579">
        <f t="shared" si="42"/>
        <v>11</v>
      </c>
      <c r="G111" s="579">
        <f t="shared" si="43"/>
        <v>12</v>
      </c>
      <c r="H111" s="579">
        <f t="shared" si="36"/>
        <v>13</v>
      </c>
      <c r="I111" s="579">
        <f t="shared" si="36"/>
        <v>14</v>
      </c>
      <c r="J111" s="579">
        <f t="shared" si="36"/>
        <v>15</v>
      </c>
      <c r="K111" s="579">
        <f t="shared" si="36"/>
        <v>16</v>
      </c>
      <c r="L111" s="579"/>
    </row>
    <row r="112" spans="1:26" s="545" customFormat="1" ht="17.25">
      <c r="A112" s="578" t="str">
        <f t="shared" si="37"/>
        <v>ISP 10 Gbps</v>
      </c>
      <c r="B112" s="580">
        <f t="shared" si="38"/>
        <v>0</v>
      </c>
      <c r="C112" s="580">
        <f t="shared" si="39"/>
        <v>0</v>
      </c>
      <c r="D112" s="580">
        <f t="shared" si="40"/>
        <v>0</v>
      </c>
      <c r="E112" s="580">
        <f t="shared" si="41"/>
        <v>0</v>
      </c>
      <c r="F112" s="580">
        <f t="shared" si="42"/>
        <v>0</v>
      </c>
      <c r="G112" s="580">
        <f t="shared" si="43"/>
        <v>0</v>
      </c>
      <c r="H112" s="580">
        <f t="shared" si="36"/>
        <v>0</v>
      </c>
      <c r="I112" s="580">
        <f t="shared" si="36"/>
        <v>0</v>
      </c>
      <c r="J112" s="580">
        <f t="shared" si="36"/>
        <v>0</v>
      </c>
      <c r="K112" s="580">
        <f t="shared" si="36"/>
        <v>0</v>
      </c>
      <c r="L112" s="580"/>
    </row>
    <row r="113" spans="1:26" s="545" customFormat="1">
      <c r="A113" s="578" t="str">
        <f t="shared" si="37"/>
        <v>Total</v>
      </c>
      <c r="B113" s="579">
        <f>SUM(B100:B112)</f>
        <v>1217</v>
      </c>
      <c r="C113" s="579">
        <f t="shared" ref="C113:K113" si="44">SUM(C100:C112)</f>
        <v>2736</v>
      </c>
      <c r="D113" s="579">
        <f t="shared" si="44"/>
        <v>2752</v>
      </c>
      <c r="E113" s="579">
        <f t="shared" si="44"/>
        <v>2768</v>
      </c>
      <c r="F113" s="579">
        <f t="shared" si="44"/>
        <v>2768</v>
      </c>
      <c r="G113" s="579">
        <f t="shared" si="44"/>
        <v>2772</v>
      </c>
      <c r="H113" s="579">
        <f t="shared" si="44"/>
        <v>2776</v>
      </c>
      <c r="I113" s="579">
        <f t="shared" si="44"/>
        <v>2780</v>
      </c>
      <c r="J113" s="579">
        <f t="shared" si="44"/>
        <v>2784</v>
      </c>
      <c r="K113" s="579">
        <f t="shared" si="44"/>
        <v>2788</v>
      </c>
      <c r="L113" s="579"/>
      <c r="M113" s="579">
        <f>SUM(H113:L113)</f>
        <v>11128</v>
      </c>
    </row>
    <row r="114" spans="1:26">
      <c r="A114" s="172"/>
    </row>
    <row r="115" spans="1:26">
      <c r="A115" s="172"/>
      <c r="B115" s="722" t="s">
        <v>78</v>
      </c>
      <c r="C115" s="722"/>
      <c r="D115" s="722"/>
      <c r="E115" s="722"/>
      <c r="F115" s="722" t="s">
        <v>79</v>
      </c>
      <c r="G115" s="722"/>
      <c r="H115" s="722"/>
      <c r="I115" s="722"/>
      <c r="J115" s="722" t="s">
        <v>80</v>
      </c>
      <c r="K115" s="722"/>
      <c r="L115" s="722"/>
      <c r="M115" s="722"/>
      <c r="N115" s="722" t="s">
        <v>81</v>
      </c>
      <c r="O115" s="722"/>
      <c r="P115" s="722"/>
      <c r="Q115" s="722"/>
      <c r="R115" s="722" t="s">
        <v>82</v>
      </c>
      <c r="S115" s="722"/>
      <c r="T115" s="722"/>
      <c r="U115" s="722"/>
      <c r="V115" s="723" t="s">
        <v>604</v>
      </c>
      <c r="W115" s="723"/>
      <c r="X115" s="723"/>
      <c r="Y115" s="723"/>
      <c r="Z115" s="723"/>
    </row>
    <row r="116" spans="1:26">
      <c r="A116" t="s">
        <v>365</v>
      </c>
      <c r="B116" s="161" t="s">
        <v>316</v>
      </c>
      <c r="C116" s="161" t="s">
        <v>317</v>
      </c>
      <c r="D116" s="161" t="s">
        <v>318</v>
      </c>
      <c r="E116" s="161" t="s">
        <v>319</v>
      </c>
      <c r="F116" s="161" t="s">
        <v>316</v>
      </c>
      <c r="G116" s="161" t="s">
        <v>317</v>
      </c>
      <c r="H116" s="161" t="s">
        <v>318</v>
      </c>
      <c r="I116" s="161" t="s">
        <v>319</v>
      </c>
      <c r="J116" s="161" t="s">
        <v>316</v>
      </c>
      <c r="K116" s="161" t="s">
        <v>317</v>
      </c>
      <c r="L116" s="161" t="s">
        <v>318</v>
      </c>
      <c r="M116" s="161" t="s">
        <v>319</v>
      </c>
      <c r="N116" s="161" t="s">
        <v>316</v>
      </c>
      <c r="O116" s="161" t="s">
        <v>317</v>
      </c>
      <c r="P116" s="161" t="s">
        <v>318</v>
      </c>
      <c r="Q116" s="161" t="s">
        <v>319</v>
      </c>
      <c r="R116" s="161" t="s">
        <v>316</v>
      </c>
      <c r="S116" s="161" t="s">
        <v>317</v>
      </c>
      <c r="T116" s="161" t="s">
        <v>318</v>
      </c>
      <c r="U116" s="161" t="s">
        <v>319</v>
      </c>
      <c r="V116" s="551">
        <v>6</v>
      </c>
      <c r="W116" s="551">
        <v>7</v>
      </c>
      <c r="X116" s="551">
        <v>8</v>
      </c>
      <c r="Y116" s="551">
        <v>9</v>
      </c>
      <c r="Z116" s="551">
        <v>10</v>
      </c>
    </row>
    <row r="117" spans="1:26">
      <c r="A117" s="172" t="str">
        <f>+A69</f>
        <v>Residential</v>
      </c>
      <c r="B117" s="166">
        <f>SUM(B6:B10)</f>
        <v>0</v>
      </c>
      <c r="C117" s="166">
        <f t="shared" ref="C117:Z117" si="45">SUM(C6:C10)</f>
        <v>0</v>
      </c>
      <c r="D117" s="166">
        <f t="shared" si="45"/>
        <v>582</v>
      </c>
      <c r="E117" s="166">
        <f t="shared" si="45"/>
        <v>1164</v>
      </c>
      <c r="F117" s="166">
        <f t="shared" si="45"/>
        <v>1482</v>
      </c>
      <c r="G117" s="166">
        <f t="shared" si="45"/>
        <v>1800</v>
      </c>
      <c r="H117" s="166">
        <f t="shared" si="45"/>
        <v>2118</v>
      </c>
      <c r="I117" s="166">
        <f t="shared" si="45"/>
        <v>2436</v>
      </c>
      <c r="J117" s="166">
        <f t="shared" si="45"/>
        <v>2436</v>
      </c>
      <c r="K117" s="166">
        <f t="shared" si="45"/>
        <v>2436</v>
      </c>
      <c r="L117" s="166">
        <f t="shared" si="45"/>
        <v>2436</v>
      </c>
      <c r="M117" s="166">
        <f t="shared" si="45"/>
        <v>2436</v>
      </c>
      <c r="N117" s="166">
        <f t="shared" si="45"/>
        <v>2436</v>
      </c>
      <c r="O117" s="166">
        <f t="shared" si="45"/>
        <v>2436</v>
      </c>
      <c r="P117" s="166">
        <f t="shared" si="45"/>
        <v>2436</v>
      </c>
      <c r="Q117" s="166">
        <f t="shared" si="45"/>
        <v>2436</v>
      </c>
      <c r="R117" s="166">
        <f t="shared" si="45"/>
        <v>2436</v>
      </c>
      <c r="S117" s="166">
        <f t="shared" si="45"/>
        <v>2436</v>
      </c>
      <c r="T117" s="166">
        <f t="shared" si="45"/>
        <v>2436</v>
      </c>
      <c r="U117" s="166">
        <f t="shared" si="45"/>
        <v>2436</v>
      </c>
      <c r="V117" s="166">
        <f t="shared" si="45"/>
        <v>2436</v>
      </c>
      <c r="W117" s="166">
        <f t="shared" si="45"/>
        <v>2436</v>
      </c>
      <c r="X117" s="166">
        <f t="shared" si="45"/>
        <v>2436</v>
      </c>
      <c r="Y117" s="166">
        <f t="shared" si="45"/>
        <v>2436</v>
      </c>
      <c r="Z117" s="166">
        <f t="shared" si="45"/>
        <v>2436</v>
      </c>
    </row>
    <row r="118" spans="1:26">
      <c r="A118" s="172" t="str">
        <f>+A70</f>
        <v>Business</v>
      </c>
      <c r="B118" s="166">
        <f>SUM(B20:B27)</f>
        <v>0</v>
      </c>
      <c r="C118" s="166">
        <f t="shared" ref="C118:Z118" si="46">SUM(C20:C27)</f>
        <v>0</v>
      </c>
      <c r="D118" s="166">
        <f t="shared" si="46"/>
        <v>52</v>
      </c>
      <c r="E118" s="166">
        <f t="shared" si="46"/>
        <v>35</v>
      </c>
      <c r="F118" s="166">
        <f t="shared" si="46"/>
        <v>63</v>
      </c>
      <c r="G118" s="166">
        <f t="shared" si="46"/>
        <v>91</v>
      </c>
      <c r="H118" s="166">
        <f t="shared" si="46"/>
        <v>119</v>
      </c>
      <c r="I118" s="166">
        <f t="shared" si="46"/>
        <v>147</v>
      </c>
      <c r="J118" s="166">
        <f t="shared" si="46"/>
        <v>147</v>
      </c>
      <c r="K118" s="166">
        <f t="shared" si="46"/>
        <v>147</v>
      </c>
      <c r="L118" s="166">
        <f t="shared" si="46"/>
        <v>147</v>
      </c>
      <c r="M118" s="166">
        <f t="shared" si="46"/>
        <v>147</v>
      </c>
      <c r="N118" s="166">
        <f t="shared" si="46"/>
        <v>147</v>
      </c>
      <c r="O118" s="166">
        <f t="shared" si="46"/>
        <v>147</v>
      </c>
      <c r="P118" s="166">
        <f t="shared" si="46"/>
        <v>147</v>
      </c>
      <c r="Q118" s="166">
        <f t="shared" si="46"/>
        <v>147</v>
      </c>
      <c r="R118" s="166">
        <f t="shared" si="46"/>
        <v>147</v>
      </c>
      <c r="S118" s="166">
        <f t="shared" si="46"/>
        <v>147</v>
      </c>
      <c r="T118" s="166">
        <f t="shared" si="46"/>
        <v>147</v>
      </c>
      <c r="U118" s="166">
        <f t="shared" si="46"/>
        <v>147</v>
      </c>
      <c r="V118" s="166">
        <f t="shared" si="46"/>
        <v>147</v>
      </c>
      <c r="W118" s="166">
        <f t="shared" si="46"/>
        <v>147</v>
      </c>
      <c r="X118" s="166">
        <f t="shared" si="46"/>
        <v>147</v>
      </c>
      <c r="Y118" s="166">
        <f t="shared" si="46"/>
        <v>147</v>
      </c>
      <c r="Z118" s="166">
        <f t="shared" si="46"/>
        <v>147</v>
      </c>
    </row>
    <row r="119" spans="1:26">
      <c r="A119" s="172" t="str">
        <f>+A71</f>
        <v>Anchor</v>
      </c>
      <c r="B119" s="166">
        <f>SUM(B40:B44)</f>
        <v>0</v>
      </c>
      <c r="C119" s="166">
        <f t="shared" ref="C119:Z119" si="47">SUM(C40:C44)</f>
        <v>0</v>
      </c>
      <c r="D119" s="166">
        <f t="shared" si="47"/>
        <v>0</v>
      </c>
      <c r="E119" s="166">
        <f t="shared" si="47"/>
        <v>10</v>
      </c>
      <c r="F119" s="166">
        <f t="shared" si="47"/>
        <v>34</v>
      </c>
      <c r="G119" s="166">
        <f t="shared" si="47"/>
        <v>71</v>
      </c>
      <c r="H119" s="166">
        <f t="shared" si="47"/>
        <v>108</v>
      </c>
      <c r="I119" s="166">
        <f t="shared" si="47"/>
        <v>137</v>
      </c>
      <c r="J119" s="166">
        <f t="shared" si="47"/>
        <v>137</v>
      </c>
      <c r="K119" s="166">
        <f t="shared" si="47"/>
        <v>137</v>
      </c>
      <c r="L119" s="166">
        <f t="shared" si="47"/>
        <v>137</v>
      </c>
      <c r="M119" s="166">
        <f t="shared" si="47"/>
        <v>137</v>
      </c>
      <c r="N119" s="166">
        <f t="shared" si="47"/>
        <v>137</v>
      </c>
      <c r="O119" s="166">
        <f t="shared" si="47"/>
        <v>137</v>
      </c>
      <c r="P119" s="166">
        <f t="shared" si="47"/>
        <v>137</v>
      </c>
      <c r="Q119" s="166">
        <f t="shared" si="47"/>
        <v>137</v>
      </c>
      <c r="R119" s="166">
        <f t="shared" si="47"/>
        <v>137</v>
      </c>
      <c r="S119" s="166">
        <f t="shared" si="47"/>
        <v>137</v>
      </c>
      <c r="T119" s="166">
        <f t="shared" si="47"/>
        <v>137</v>
      </c>
      <c r="U119" s="166">
        <f t="shared" si="47"/>
        <v>137</v>
      </c>
      <c r="V119" s="166">
        <f t="shared" si="47"/>
        <v>137</v>
      </c>
      <c r="W119" s="166">
        <f t="shared" si="47"/>
        <v>137</v>
      </c>
      <c r="X119" s="166">
        <f t="shared" si="47"/>
        <v>137</v>
      </c>
      <c r="Y119" s="166">
        <f t="shared" si="47"/>
        <v>137</v>
      </c>
      <c r="Z119" s="166">
        <f t="shared" si="47"/>
        <v>137</v>
      </c>
    </row>
    <row r="120" spans="1:26" ht="17.25">
      <c r="A120" s="172" t="str">
        <f>+A72</f>
        <v>Wholesale</v>
      </c>
      <c r="B120" s="277">
        <f>SUM(B54:B58)</f>
        <v>0</v>
      </c>
      <c r="C120" s="277">
        <f t="shared" ref="C120:Z120" si="48">SUM(C54:C58)</f>
        <v>0</v>
      </c>
      <c r="D120" s="277">
        <f t="shared" si="48"/>
        <v>4</v>
      </c>
      <c r="E120" s="277">
        <f t="shared" si="48"/>
        <v>8</v>
      </c>
      <c r="F120" s="277">
        <f t="shared" si="48"/>
        <v>6</v>
      </c>
      <c r="G120" s="277">
        <f t="shared" si="48"/>
        <v>10</v>
      </c>
      <c r="H120" s="277">
        <f t="shared" si="48"/>
        <v>12</v>
      </c>
      <c r="I120" s="277">
        <f t="shared" si="48"/>
        <v>16</v>
      </c>
      <c r="J120" s="277">
        <f t="shared" si="48"/>
        <v>20</v>
      </c>
      <c r="K120" s="277">
        <f t="shared" si="48"/>
        <v>24</v>
      </c>
      <c r="L120" s="277">
        <f t="shared" si="48"/>
        <v>28</v>
      </c>
      <c r="M120" s="277">
        <f t="shared" si="48"/>
        <v>32</v>
      </c>
      <c r="N120" s="277">
        <f t="shared" si="48"/>
        <v>36</v>
      </c>
      <c r="O120" s="277">
        <f t="shared" si="48"/>
        <v>40</v>
      </c>
      <c r="P120" s="277">
        <f t="shared" si="48"/>
        <v>44</v>
      </c>
      <c r="Q120" s="277">
        <f t="shared" si="48"/>
        <v>48</v>
      </c>
      <c r="R120" s="277">
        <f t="shared" si="48"/>
        <v>48</v>
      </c>
      <c r="S120" s="277">
        <f t="shared" si="48"/>
        <v>48</v>
      </c>
      <c r="T120" s="277">
        <f t="shared" si="48"/>
        <v>48</v>
      </c>
      <c r="U120" s="277">
        <f t="shared" si="48"/>
        <v>48</v>
      </c>
      <c r="V120" s="277">
        <f t="shared" si="48"/>
        <v>52</v>
      </c>
      <c r="W120" s="277">
        <f t="shared" si="48"/>
        <v>56</v>
      </c>
      <c r="X120" s="277">
        <f t="shared" si="48"/>
        <v>60</v>
      </c>
      <c r="Y120" s="277">
        <f t="shared" si="48"/>
        <v>64</v>
      </c>
      <c r="Z120" s="277">
        <f t="shared" si="48"/>
        <v>68</v>
      </c>
    </row>
    <row r="121" spans="1:26">
      <c r="A121" s="172" t="s">
        <v>220</v>
      </c>
      <c r="B121" s="166">
        <f>SUM(B117:B120)</f>
        <v>0</v>
      </c>
      <c r="C121" s="166">
        <f t="shared" ref="C121:Z121" si="49">SUM(C117:C120)</f>
        <v>0</v>
      </c>
      <c r="D121" s="166">
        <f t="shared" si="49"/>
        <v>638</v>
      </c>
      <c r="E121" s="166">
        <f t="shared" si="49"/>
        <v>1217</v>
      </c>
      <c r="F121" s="166">
        <f t="shared" si="49"/>
        <v>1585</v>
      </c>
      <c r="G121" s="166">
        <f t="shared" si="49"/>
        <v>1972</v>
      </c>
      <c r="H121" s="166">
        <f t="shared" si="49"/>
        <v>2357</v>
      </c>
      <c r="I121" s="166">
        <f t="shared" si="49"/>
        <v>2736</v>
      </c>
      <c r="J121" s="166">
        <f t="shared" si="49"/>
        <v>2740</v>
      </c>
      <c r="K121" s="166">
        <f t="shared" si="49"/>
        <v>2744</v>
      </c>
      <c r="L121" s="166">
        <f t="shared" si="49"/>
        <v>2748</v>
      </c>
      <c r="M121" s="166">
        <f t="shared" si="49"/>
        <v>2752</v>
      </c>
      <c r="N121" s="166">
        <f t="shared" si="49"/>
        <v>2756</v>
      </c>
      <c r="O121" s="166">
        <f t="shared" si="49"/>
        <v>2760</v>
      </c>
      <c r="P121" s="166">
        <f t="shared" si="49"/>
        <v>2764</v>
      </c>
      <c r="Q121" s="166">
        <f t="shared" si="49"/>
        <v>2768</v>
      </c>
      <c r="R121" s="166">
        <f t="shared" si="49"/>
        <v>2768</v>
      </c>
      <c r="S121" s="166">
        <f t="shared" si="49"/>
        <v>2768</v>
      </c>
      <c r="T121" s="166">
        <f t="shared" si="49"/>
        <v>2768</v>
      </c>
      <c r="U121" s="166">
        <f t="shared" si="49"/>
        <v>2768</v>
      </c>
      <c r="V121" s="166">
        <f t="shared" si="49"/>
        <v>2772</v>
      </c>
      <c r="W121" s="166">
        <f t="shared" si="49"/>
        <v>2776</v>
      </c>
      <c r="X121" s="166">
        <f t="shared" si="49"/>
        <v>2780</v>
      </c>
      <c r="Y121" s="166">
        <f t="shared" si="49"/>
        <v>2784</v>
      </c>
      <c r="Z121" s="166">
        <f t="shared" si="49"/>
        <v>2788</v>
      </c>
    </row>
    <row r="122" spans="1:26">
      <c r="A122" s="172"/>
      <c r="B122" s="166"/>
    </row>
    <row r="123" spans="1:26">
      <c r="A123" t="s">
        <v>364</v>
      </c>
      <c r="B123" s="161" t="s">
        <v>78</v>
      </c>
      <c r="C123" s="161" t="s">
        <v>79</v>
      </c>
      <c r="D123" s="161" t="s">
        <v>80</v>
      </c>
      <c r="E123" s="161" t="s">
        <v>81</v>
      </c>
      <c r="F123" s="161" t="s">
        <v>82</v>
      </c>
      <c r="G123" s="607" t="s">
        <v>580</v>
      </c>
      <c r="H123" s="607" t="s">
        <v>581</v>
      </c>
      <c r="I123" s="607" t="s">
        <v>582</v>
      </c>
      <c r="J123" s="607" t="s">
        <v>583</v>
      </c>
      <c r="K123" s="607" t="s">
        <v>584</v>
      </c>
      <c r="L123" s="196"/>
      <c r="M123" s="196"/>
      <c r="N123" s="196"/>
    </row>
    <row r="124" spans="1:26">
      <c r="A124" s="172" t="str">
        <f>+A117</f>
        <v>Residential</v>
      </c>
      <c r="B124" s="166">
        <f>+E117</f>
        <v>1164</v>
      </c>
      <c r="C124" s="166">
        <f>+I117-E117</f>
        <v>1272</v>
      </c>
      <c r="D124" s="166">
        <f>+M117-I117</f>
        <v>0</v>
      </c>
      <c r="E124" s="166">
        <f>+Q117-M117</f>
        <v>0</v>
      </c>
      <c r="F124" s="166">
        <f>+U117-Q117</f>
        <v>0</v>
      </c>
      <c r="G124" s="202">
        <f t="shared" ref="G124:K127" si="50">SUM(V117-U117)</f>
        <v>0</v>
      </c>
      <c r="H124" s="202">
        <f t="shared" si="50"/>
        <v>0</v>
      </c>
      <c r="I124" s="202">
        <f t="shared" si="50"/>
        <v>0</v>
      </c>
      <c r="J124" s="202">
        <f t="shared" si="50"/>
        <v>0</v>
      </c>
      <c r="K124" s="202">
        <f t="shared" si="50"/>
        <v>0</v>
      </c>
      <c r="L124" s="196"/>
      <c r="M124" s="724"/>
      <c r="N124" s="724"/>
    </row>
    <row r="125" spans="1:26">
      <c r="A125" s="172" t="str">
        <f t="shared" ref="A125:A127" si="51">+A118</f>
        <v>Business</v>
      </c>
      <c r="B125" s="166">
        <f t="shared" ref="B125:B127" si="52">+E118</f>
        <v>35</v>
      </c>
      <c r="C125" s="166">
        <f t="shared" ref="C125:C127" si="53">+I118-E118</f>
        <v>112</v>
      </c>
      <c r="D125" s="166">
        <f t="shared" ref="D125:D127" si="54">+M118-I118</f>
        <v>0</v>
      </c>
      <c r="E125" s="166">
        <f t="shared" ref="E125:E127" si="55">+Q118-M118</f>
        <v>0</v>
      </c>
      <c r="F125" s="166">
        <f>+U118-Q118</f>
        <v>0</v>
      </c>
      <c r="G125" s="202">
        <f t="shared" si="50"/>
        <v>0</v>
      </c>
      <c r="H125" s="202">
        <f t="shared" si="50"/>
        <v>0</v>
      </c>
      <c r="I125" s="202">
        <f t="shared" si="50"/>
        <v>0</v>
      </c>
      <c r="J125" s="202">
        <f t="shared" si="50"/>
        <v>0</v>
      </c>
      <c r="K125" s="202">
        <f t="shared" si="50"/>
        <v>0</v>
      </c>
      <c r="L125" s="196"/>
      <c r="M125" s="724"/>
      <c r="N125" s="724"/>
    </row>
    <row r="126" spans="1:26">
      <c r="A126" s="172" t="str">
        <f t="shared" si="51"/>
        <v>Anchor</v>
      </c>
      <c r="B126" s="166">
        <f t="shared" si="52"/>
        <v>10</v>
      </c>
      <c r="C126" s="166">
        <f t="shared" si="53"/>
        <v>127</v>
      </c>
      <c r="D126" s="166">
        <f t="shared" si="54"/>
        <v>0</v>
      </c>
      <c r="E126" s="166">
        <f t="shared" si="55"/>
        <v>0</v>
      </c>
      <c r="F126" s="166">
        <f>+U119-Q119</f>
        <v>0</v>
      </c>
      <c r="G126" s="202">
        <f t="shared" si="50"/>
        <v>0</v>
      </c>
      <c r="H126" s="202">
        <f t="shared" si="50"/>
        <v>0</v>
      </c>
      <c r="I126" s="202">
        <f t="shared" si="50"/>
        <v>0</v>
      </c>
      <c r="J126" s="202">
        <f t="shared" si="50"/>
        <v>0</v>
      </c>
      <c r="K126" s="202">
        <f t="shared" si="50"/>
        <v>0</v>
      </c>
      <c r="L126" s="196"/>
      <c r="M126" s="724"/>
      <c r="N126" s="724"/>
    </row>
    <row r="127" spans="1:26" ht="15.75" thickBot="1">
      <c r="A127" s="172" t="str">
        <f t="shared" si="51"/>
        <v>Wholesale</v>
      </c>
      <c r="B127" s="455">
        <f t="shared" si="52"/>
        <v>8</v>
      </c>
      <c r="C127" s="455">
        <f t="shared" si="53"/>
        <v>8</v>
      </c>
      <c r="D127" s="455">
        <f t="shared" si="54"/>
        <v>16</v>
      </c>
      <c r="E127" s="455">
        <f t="shared" si="55"/>
        <v>16</v>
      </c>
      <c r="F127" s="455">
        <f>+U120-Q120</f>
        <v>0</v>
      </c>
      <c r="G127" s="608">
        <f t="shared" si="50"/>
        <v>4</v>
      </c>
      <c r="H127" s="608">
        <f t="shared" si="50"/>
        <v>4</v>
      </c>
      <c r="I127" s="608">
        <f t="shared" si="50"/>
        <v>4</v>
      </c>
      <c r="J127" s="608">
        <f t="shared" si="50"/>
        <v>4</v>
      </c>
      <c r="K127" s="608">
        <f t="shared" si="50"/>
        <v>4</v>
      </c>
      <c r="L127" s="196"/>
      <c r="M127" s="724"/>
      <c r="N127" s="724"/>
    </row>
    <row r="128" spans="1:26">
      <c r="B128" s="166">
        <f>SUM(B124:B127)</f>
        <v>1217</v>
      </c>
      <c r="C128" s="166">
        <f t="shared" ref="C128:F128" si="56">SUM(C124:C127)</f>
        <v>1519</v>
      </c>
      <c r="D128" s="166">
        <f t="shared" si="56"/>
        <v>16</v>
      </c>
      <c r="E128" s="166">
        <f t="shared" si="56"/>
        <v>16</v>
      </c>
      <c r="F128" s="166">
        <f t="shared" si="56"/>
        <v>0</v>
      </c>
      <c r="G128" s="202">
        <f>SUM(G124:G127)</f>
        <v>4</v>
      </c>
      <c r="H128" s="202">
        <f t="shared" ref="H128:K128" si="57">SUM(H124:H127)</f>
        <v>4</v>
      </c>
      <c r="I128" s="202">
        <f t="shared" si="57"/>
        <v>4</v>
      </c>
      <c r="J128" s="202">
        <f t="shared" si="57"/>
        <v>4</v>
      </c>
      <c r="K128" s="202">
        <f t="shared" si="57"/>
        <v>4</v>
      </c>
      <c r="L128" s="196"/>
      <c r="M128" s="196"/>
      <c r="N128" s="196"/>
    </row>
    <row r="129" spans="1:14">
      <c r="B129" s="166"/>
      <c r="C129" s="166"/>
      <c r="D129" s="166"/>
      <c r="E129" s="166"/>
      <c r="F129" s="166"/>
      <c r="G129" s="202"/>
      <c r="H129" s="202"/>
      <c r="I129" s="202"/>
      <c r="J129" s="202"/>
      <c r="K129" s="202"/>
      <c r="L129" s="196"/>
      <c r="M129" s="196"/>
      <c r="N129" s="196"/>
    </row>
    <row r="130" spans="1:14">
      <c r="A130" t="s">
        <v>368</v>
      </c>
      <c r="B130" s="536" t="s">
        <v>78</v>
      </c>
      <c r="C130" s="536" t="s">
        <v>79</v>
      </c>
      <c r="D130" s="536" t="s">
        <v>80</v>
      </c>
      <c r="E130" s="536" t="s">
        <v>81</v>
      </c>
      <c r="F130" s="536" t="s">
        <v>82</v>
      </c>
      <c r="G130" s="607" t="s">
        <v>580</v>
      </c>
      <c r="H130" s="607" t="s">
        <v>581</v>
      </c>
      <c r="I130" s="607" t="s">
        <v>582</v>
      </c>
      <c r="J130" s="607" t="s">
        <v>583</v>
      </c>
      <c r="K130" s="607" t="s">
        <v>584</v>
      </c>
      <c r="L130" s="196"/>
      <c r="M130" s="196"/>
      <c r="N130" s="196"/>
    </row>
    <row r="131" spans="1:14">
      <c r="A131" s="172" t="str">
        <f>+A117</f>
        <v>Residential</v>
      </c>
      <c r="B131" s="166">
        <f>+B117*3+C117*3+D117*3+E117*3</f>
        <v>5238</v>
      </c>
      <c r="C131" s="166">
        <f>+F117*3+G117*3+H117*3+I117*3</f>
        <v>23508</v>
      </c>
      <c r="D131" s="166">
        <f>+J117*3+K117*3+L117*3+M117*3</f>
        <v>29232</v>
      </c>
      <c r="E131" s="166">
        <f>+N117*3+O117*3+P117*3+Q117*3</f>
        <v>29232</v>
      </c>
      <c r="F131" s="166">
        <f>+R117*3+S117*3+T117*3+U117*3</f>
        <v>29232</v>
      </c>
      <c r="G131" s="202">
        <f>V117*12</f>
        <v>29232</v>
      </c>
      <c r="H131" s="202">
        <f t="shared" ref="H131:K134" si="58">W117*12</f>
        <v>29232</v>
      </c>
      <c r="I131" s="202">
        <f t="shared" si="58"/>
        <v>29232</v>
      </c>
      <c r="J131" s="202">
        <f t="shared" si="58"/>
        <v>29232</v>
      </c>
      <c r="K131" s="202">
        <f t="shared" si="58"/>
        <v>29232</v>
      </c>
      <c r="L131" s="196"/>
      <c r="M131" s="196"/>
      <c r="N131" s="196"/>
    </row>
    <row r="132" spans="1:14">
      <c r="A132" s="172" t="str">
        <f>+A118</f>
        <v>Business</v>
      </c>
      <c r="B132" s="166">
        <f t="shared" ref="B132:B134" si="59">+B118*3+C118*3+D118*3+E118*3</f>
        <v>261</v>
      </c>
      <c r="C132" s="166">
        <f t="shared" ref="C132:C134" si="60">+F118*3+G118*3+H118*3+I118*3</f>
        <v>1260</v>
      </c>
      <c r="D132" s="166">
        <f t="shared" ref="D132:D134" si="61">+J118*3+K118*3+L118*3+M118*3</f>
        <v>1764</v>
      </c>
      <c r="E132" s="166">
        <f t="shared" ref="E132:E134" si="62">+N118*3+O118*3+P118*3+Q118*3</f>
        <v>1764</v>
      </c>
      <c r="F132" s="166">
        <f t="shared" ref="F132:F134" si="63">+R118*3+S118*3+T118*3+U118*3</f>
        <v>1764</v>
      </c>
      <c r="G132" s="202">
        <f t="shared" ref="G132:G134" si="64">V118*12</f>
        <v>1764</v>
      </c>
      <c r="H132" s="202">
        <f t="shared" si="58"/>
        <v>1764</v>
      </c>
      <c r="I132" s="202">
        <f t="shared" si="58"/>
        <v>1764</v>
      </c>
      <c r="J132" s="202">
        <f t="shared" si="58"/>
        <v>1764</v>
      </c>
      <c r="K132" s="202">
        <f t="shared" si="58"/>
        <v>1764</v>
      </c>
      <c r="L132" s="196"/>
      <c r="M132" s="724"/>
      <c r="N132" s="724"/>
    </row>
    <row r="133" spans="1:14">
      <c r="A133" s="172" t="str">
        <f>+A119</f>
        <v>Anchor</v>
      </c>
      <c r="B133" s="166">
        <f t="shared" si="59"/>
        <v>30</v>
      </c>
      <c r="C133" s="166">
        <f t="shared" si="60"/>
        <v>1050</v>
      </c>
      <c r="D133" s="166">
        <f t="shared" si="61"/>
        <v>1644</v>
      </c>
      <c r="E133" s="166">
        <f t="shared" si="62"/>
        <v>1644</v>
      </c>
      <c r="F133" s="166">
        <f t="shared" si="63"/>
        <v>1644</v>
      </c>
      <c r="G133" s="202">
        <f t="shared" si="64"/>
        <v>1644</v>
      </c>
      <c r="H133" s="202">
        <f t="shared" si="58"/>
        <v>1644</v>
      </c>
      <c r="I133" s="202">
        <f t="shared" si="58"/>
        <v>1644</v>
      </c>
      <c r="J133" s="202">
        <f t="shared" si="58"/>
        <v>1644</v>
      </c>
      <c r="K133" s="202">
        <f t="shared" si="58"/>
        <v>1644</v>
      </c>
      <c r="L133" s="196"/>
      <c r="M133" s="724"/>
      <c r="N133" s="724"/>
    </row>
    <row r="134" spans="1:14" ht="17.25">
      <c r="A134" s="172" t="str">
        <f>+A120</f>
        <v>Wholesale</v>
      </c>
      <c r="B134" s="277">
        <f t="shared" si="59"/>
        <v>36</v>
      </c>
      <c r="C134" s="277">
        <f t="shared" si="60"/>
        <v>132</v>
      </c>
      <c r="D134" s="277">
        <f t="shared" si="61"/>
        <v>312</v>
      </c>
      <c r="E134" s="277">
        <f t="shared" si="62"/>
        <v>504</v>
      </c>
      <c r="F134" s="277">
        <f t="shared" si="63"/>
        <v>576</v>
      </c>
      <c r="G134" s="609">
        <f t="shared" si="64"/>
        <v>624</v>
      </c>
      <c r="H134" s="609">
        <f t="shared" si="58"/>
        <v>672</v>
      </c>
      <c r="I134" s="609">
        <f t="shared" si="58"/>
        <v>720</v>
      </c>
      <c r="J134" s="609">
        <f t="shared" si="58"/>
        <v>768</v>
      </c>
      <c r="K134" s="609">
        <f t="shared" si="58"/>
        <v>816</v>
      </c>
      <c r="L134" s="196"/>
      <c r="M134" s="724"/>
      <c r="N134" s="724"/>
    </row>
    <row r="135" spans="1:14">
      <c r="A135" s="172" t="str">
        <f>+A121</f>
        <v>Total</v>
      </c>
      <c r="B135" s="166">
        <f>SUM(B131:B134)</f>
        <v>5565</v>
      </c>
      <c r="C135" s="166">
        <f t="shared" ref="C135:K135" si="65">SUM(C131:C134)</f>
        <v>25950</v>
      </c>
      <c r="D135" s="166">
        <f t="shared" si="65"/>
        <v>32952</v>
      </c>
      <c r="E135" s="166">
        <f t="shared" si="65"/>
        <v>33144</v>
      </c>
      <c r="F135" s="166">
        <f t="shared" si="65"/>
        <v>33216</v>
      </c>
      <c r="G135" s="202">
        <f t="shared" si="65"/>
        <v>33264</v>
      </c>
      <c r="H135" s="202">
        <f t="shared" si="65"/>
        <v>33312</v>
      </c>
      <c r="I135" s="202">
        <f t="shared" si="65"/>
        <v>33360</v>
      </c>
      <c r="J135" s="202">
        <f t="shared" si="65"/>
        <v>33408</v>
      </c>
      <c r="K135" s="202">
        <f t="shared" si="65"/>
        <v>33456</v>
      </c>
      <c r="L135" s="196"/>
      <c r="M135" s="724"/>
      <c r="N135" s="724"/>
    </row>
    <row r="136" spans="1:14">
      <c r="G136" s="196"/>
      <c r="H136" s="196"/>
      <c r="I136" s="196"/>
      <c r="J136" s="196"/>
      <c r="K136" s="196"/>
      <c r="L136" s="196"/>
      <c r="M136" s="196"/>
      <c r="N136" s="196"/>
    </row>
    <row r="137" spans="1:14">
      <c r="A137" t="s">
        <v>382</v>
      </c>
      <c r="B137" s="161" t="s">
        <v>78</v>
      </c>
      <c r="C137" s="161" t="s">
        <v>79</v>
      </c>
      <c r="D137" s="161" t="s">
        <v>80</v>
      </c>
      <c r="E137" s="161" t="s">
        <v>81</v>
      </c>
      <c r="F137" s="161" t="s">
        <v>82</v>
      </c>
      <c r="G137" s="607" t="s">
        <v>580</v>
      </c>
      <c r="H137" s="607" t="s">
        <v>581</v>
      </c>
      <c r="I137" s="607" t="s">
        <v>582</v>
      </c>
      <c r="J137" s="607" t="s">
        <v>583</v>
      </c>
      <c r="K137" s="607" t="s">
        <v>584</v>
      </c>
      <c r="L137" s="196"/>
      <c r="M137" s="196"/>
      <c r="N137" s="196"/>
    </row>
    <row r="138" spans="1:14">
      <c r="A138" s="189" t="s">
        <v>383</v>
      </c>
      <c r="B138" s="166">
        <f>SUM(B100:B106)+B108</f>
        <v>1211</v>
      </c>
      <c r="C138" s="166">
        <f t="shared" ref="C138:K138" si="66">SUM(C100:C106)+C108</f>
        <v>2726</v>
      </c>
      <c r="D138" s="166">
        <f t="shared" si="66"/>
        <v>2730</v>
      </c>
      <c r="E138" s="166">
        <f t="shared" si="66"/>
        <v>2734</v>
      </c>
      <c r="F138" s="166">
        <f t="shared" si="66"/>
        <v>2734</v>
      </c>
      <c r="G138" s="202">
        <f t="shared" si="66"/>
        <v>2735</v>
      </c>
      <c r="H138" s="202">
        <f t="shared" si="66"/>
        <v>2736</v>
      </c>
      <c r="I138" s="202">
        <f t="shared" si="66"/>
        <v>2737</v>
      </c>
      <c r="J138" s="202">
        <f t="shared" si="66"/>
        <v>2738</v>
      </c>
      <c r="K138" s="202">
        <f t="shared" si="66"/>
        <v>2739</v>
      </c>
      <c r="L138" s="196"/>
      <c r="M138" s="196"/>
      <c r="N138" s="196"/>
    </row>
    <row r="139" spans="1:14" ht="17.25">
      <c r="A139" s="189" t="s">
        <v>384</v>
      </c>
      <c r="B139" s="277">
        <f>SUM(B109:B112)+B107</f>
        <v>6</v>
      </c>
      <c r="C139" s="277">
        <f t="shared" ref="C139:K139" si="67">SUM(C109:C112)+C107</f>
        <v>10</v>
      </c>
      <c r="D139" s="277">
        <f t="shared" si="67"/>
        <v>22</v>
      </c>
      <c r="E139" s="277">
        <f t="shared" si="67"/>
        <v>34</v>
      </c>
      <c r="F139" s="277">
        <f t="shared" si="67"/>
        <v>34</v>
      </c>
      <c r="G139" s="609">
        <f t="shared" si="67"/>
        <v>37</v>
      </c>
      <c r="H139" s="609">
        <f t="shared" si="67"/>
        <v>40</v>
      </c>
      <c r="I139" s="609">
        <f t="shared" si="67"/>
        <v>43</v>
      </c>
      <c r="J139" s="609">
        <f t="shared" si="67"/>
        <v>46</v>
      </c>
      <c r="K139" s="609">
        <f t="shared" si="67"/>
        <v>49</v>
      </c>
      <c r="L139" s="196"/>
      <c r="M139" s="196"/>
      <c r="N139" s="196"/>
    </row>
    <row r="140" spans="1:14">
      <c r="B140" s="166">
        <f>SUM(B138:B139)</f>
        <v>1217</v>
      </c>
      <c r="C140" s="166">
        <f t="shared" ref="C140:K140" si="68">SUM(C138:C139)</f>
        <v>2736</v>
      </c>
      <c r="D140" s="166">
        <f t="shared" si="68"/>
        <v>2752</v>
      </c>
      <c r="E140" s="166">
        <f t="shared" si="68"/>
        <v>2768</v>
      </c>
      <c r="F140" s="166">
        <f t="shared" si="68"/>
        <v>2768</v>
      </c>
      <c r="G140" s="202">
        <f t="shared" si="68"/>
        <v>2772</v>
      </c>
      <c r="H140" s="202">
        <f t="shared" si="68"/>
        <v>2776</v>
      </c>
      <c r="I140" s="202">
        <f t="shared" si="68"/>
        <v>2780</v>
      </c>
      <c r="J140" s="202">
        <f t="shared" si="68"/>
        <v>2784</v>
      </c>
      <c r="K140" s="202">
        <f t="shared" si="68"/>
        <v>2788</v>
      </c>
      <c r="L140" s="196"/>
      <c r="M140" s="196"/>
      <c r="N140" s="196"/>
    </row>
    <row r="141" spans="1:14">
      <c r="G141" s="196"/>
      <c r="H141" s="196"/>
      <c r="I141" s="196"/>
      <c r="J141" s="196"/>
      <c r="K141" s="196"/>
      <c r="L141" s="196"/>
      <c r="M141" s="196"/>
      <c r="N141" s="196"/>
    </row>
    <row r="142" spans="1:14">
      <c r="A142" t="s">
        <v>435</v>
      </c>
      <c r="C142" s="166"/>
      <c r="G142" s="196"/>
      <c r="H142" s="196"/>
      <c r="I142" s="196"/>
      <c r="J142" s="196"/>
      <c r="K142" s="196"/>
      <c r="L142" s="196"/>
      <c r="M142" s="196"/>
      <c r="N142" s="196"/>
    </row>
    <row r="143" spans="1:14">
      <c r="B143" s="162" t="str">
        <f>+B137</f>
        <v>Year 1</v>
      </c>
      <c r="C143" s="162" t="str">
        <f t="shared" ref="C143:F143" si="69">+C137</f>
        <v>Year 2</v>
      </c>
      <c r="D143" s="162" t="str">
        <f t="shared" si="69"/>
        <v>Year 3</v>
      </c>
      <c r="E143" s="162" t="str">
        <f t="shared" si="69"/>
        <v>Year 4</v>
      </c>
      <c r="F143" s="162" t="str">
        <f t="shared" si="69"/>
        <v>Year 5</v>
      </c>
      <c r="G143" s="607" t="s">
        <v>580</v>
      </c>
      <c r="H143" s="607" t="s">
        <v>581</v>
      </c>
      <c r="I143" s="607" t="s">
        <v>582</v>
      </c>
      <c r="J143" s="607" t="s">
        <v>583</v>
      </c>
      <c r="K143" s="607" t="s">
        <v>584</v>
      </c>
      <c r="L143" s="196"/>
      <c r="M143" s="196"/>
      <c r="N143" s="196"/>
    </row>
    <row r="144" spans="1:14">
      <c r="A144" s="172" t="str">
        <f>+A138</f>
        <v>100 Mbps</v>
      </c>
      <c r="B144" s="166">
        <f>+B138-B108</f>
        <v>1209</v>
      </c>
      <c r="C144" s="166">
        <f t="shared" ref="C144:K144" si="70">+C138-C108</f>
        <v>2720</v>
      </c>
      <c r="D144" s="166">
        <f t="shared" si="70"/>
        <v>2720</v>
      </c>
      <c r="E144" s="166">
        <f t="shared" si="70"/>
        <v>2720</v>
      </c>
      <c r="F144" s="166">
        <f t="shared" si="70"/>
        <v>2720</v>
      </c>
      <c r="G144" s="202">
        <f t="shared" si="70"/>
        <v>2720</v>
      </c>
      <c r="H144" s="202">
        <f t="shared" si="70"/>
        <v>2720</v>
      </c>
      <c r="I144" s="202">
        <f t="shared" si="70"/>
        <v>2720</v>
      </c>
      <c r="J144" s="202">
        <f t="shared" si="70"/>
        <v>2720</v>
      </c>
      <c r="K144" s="202">
        <f t="shared" si="70"/>
        <v>2720</v>
      </c>
      <c r="L144" s="196"/>
      <c r="M144" s="196"/>
      <c r="N144" s="196"/>
    </row>
    <row r="145" spans="1:26" ht="17.25">
      <c r="A145" s="172" t="str">
        <f>+A139</f>
        <v>1 Gbps</v>
      </c>
      <c r="B145" s="277">
        <f>+B139-SUM(B109:B112)</f>
        <v>0</v>
      </c>
      <c r="C145" s="277">
        <f t="shared" ref="C145:K145" si="71">+C139-SUM(C109:C112)</f>
        <v>0</v>
      </c>
      <c r="D145" s="277">
        <f t="shared" si="71"/>
        <v>0</v>
      </c>
      <c r="E145" s="277">
        <f t="shared" si="71"/>
        <v>0</v>
      </c>
      <c r="F145" s="277">
        <f t="shared" si="71"/>
        <v>0</v>
      </c>
      <c r="G145" s="609">
        <f t="shared" si="71"/>
        <v>0</v>
      </c>
      <c r="H145" s="609">
        <f t="shared" si="71"/>
        <v>0</v>
      </c>
      <c r="I145" s="609">
        <f t="shared" si="71"/>
        <v>0</v>
      </c>
      <c r="J145" s="609">
        <f t="shared" si="71"/>
        <v>0</v>
      </c>
      <c r="K145" s="609">
        <f t="shared" si="71"/>
        <v>0</v>
      </c>
      <c r="L145" s="196"/>
      <c r="M145" s="196"/>
      <c r="N145" s="196"/>
    </row>
    <row r="146" spans="1:26" ht="16.5" customHeight="1">
      <c r="B146" s="166">
        <f>SUM(B144:B145)</f>
        <v>1209</v>
      </c>
      <c r="C146" s="166">
        <f t="shared" ref="C146:K146" si="72">SUM(C144:C145)</f>
        <v>2720</v>
      </c>
      <c r="D146" s="166">
        <f t="shared" si="72"/>
        <v>2720</v>
      </c>
      <c r="E146" s="166">
        <f t="shared" si="72"/>
        <v>2720</v>
      </c>
      <c r="F146" s="166">
        <f t="shared" si="72"/>
        <v>2720</v>
      </c>
      <c r="G146" s="202">
        <f t="shared" si="72"/>
        <v>2720</v>
      </c>
      <c r="H146" s="202">
        <f t="shared" si="72"/>
        <v>2720</v>
      </c>
      <c r="I146" s="202">
        <f t="shared" si="72"/>
        <v>2720</v>
      </c>
      <c r="J146" s="202">
        <f t="shared" si="72"/>
        <v>2720</v>
      </c>
      <c r="K146" s="202">
        <f t="shared" si="72"/>
        <v>2720</v>
      </c>
      <c r="L146" s="196"/>
      <c r="M146" s="196"/>
      <c r="N146" s="196"/>
    </row>
    <row r="147" spans="1:26">
      <c r="G147" s="196"/>
      <c r="H147" s="196"/>
      <c r="I147" s="196"/>
      <c r="J147" s="196"/>
      <c r="K147" s="196"/>
      <c r="L147" s="196"/>
      <c r="M147" s="196"/>
      <c r="N147" s="196"/>
    </row>
    <row r="149" spans="1:26" ht="30">
      <c r="A149" s="487" t="s">
        <v>518</v>
      </c>
    </row>
    <row r="150" spans="1:26">
      <c r="A150" s="172"/>
      <c r="B150" s="722" t="s">
        <v>78</v>
      </c>
      <c r="C150" s="722"/>
      <c r="D150" s="722"/>
      <c r="E150" s="722"/>
      <c r="F150" s="722" t="s">
        <v>79</v>
      </c>
      <c r="G150" s="722"/>
      <c r="H150" s="722"/>
      <c r="I150" s="722"/>
      <c r="J150" s="722" t="s">
        <v>80</v>
      </c>
      <c r="K150" s="722"/>
      <c r="L150" s="722"/>
      <c r="M150" s="722"/>
      <c r="N150" s="722" t="s">
        <v>81</v>
      </c>
      <c r="O150" s="722"/>
      <c r="P150" s="722"/>
      <c r="Q150" s="722"/>
      <c r="R150" s="722" t="s">
        <v>82</v>
      </c>
      <c r="S150" s="722"/>
      <c r="T150" s="722"/>
      <c r="U150" s="722"/>
      <c r="V150" s="723" t="s">
        <v>604</v>
      </c>
      <c r="W150" s="723"/>
      <c r="X150" s="723"/>
      <c r="Y150" s="723"/>
      <c r="Z150" s="723"/>
    </row>
    <row r="151" spans="1:26">
      <c r="A151" t="s">
        <v>365</v>
      </c>
      <c r="B151" s="469" t="s">
        <v>316</v>
      </c>
      <c r="C151" s="469" t="s">
        <v>317</v>
      </c>
      <c r="D151" s="469" t="s">
        <v>318</v>
      </c>
      <c r="E151" s="469" t="s">
        <v>319</v>
      </c>
      <c r="F151" s="469" t="s">
        <v>316</v>
      </c>
      <c r="G151" s="469" t="s">
        <v>317</v>
      </c>
      <c r="H151" s="469" t="s">
        <v>318</v>
      </c>
      <c r="I151" s="469" t="s">
        <v>319</v>
      </c>
      <c r="J151" s="469" t="s">
        <v>316</v>
      </c>
      <c r="K151" s="469" t="s">
        <v>317</v>
      </c>
      <c r="L151" s="469" t="s">
        <v>318</v>
      </c>
      <c r="M151" s="469" t="s">
        <v>319</v>
      </c>
      <c r="N151" s="469" t="s">
        <v>316</v>
      </c>
      <c r="O151" s="469" t="s">
        <v>317</v>
      </c>
      <c r="P151" s="469" t="s">
        <v>318</v>
      </c>
      <c r="Q151" s="469" t="s">
        <v>319</v>
      </c>
      <c r="R151" s="469" t="s">
        <v>316</v>
      </c>
      <c r="S151" s="469" t="s">
        <v>317</v>
      </c>
      <c r="T151" s="469" t="s">
        <v>318</v>
      </c>
      <c r="U151" s="469" t="s">
        <v>319</v>
      </c>
      <c r="V151" s="551">
        <v>6</v>
      </c>
      <c r="W151" s="551">
        <v>7</v>
      </c>
      <c r="X151" s="551">
        <v>8</v>
      </c>
      <c r="Y151" s="551">
        <v>9</v>
      </c>
      <c r="Z151" s="551">
        <v>10</v>
      </c>
    </row>
    <row r="152" spans="1:26">
      <c r="A152" s="172" t="s">
        <v>495</v>
      </c>
      <c r="B152" s="473">
        <v>1000</v>
      </c>
      <c r="C152" s="473">
        <v>1000</v>
      </c>
      <c r="D152" s="473">
        <v>1000</v>
      </c>
      <c r="E152" s="473">
        <v>1000</v>
      </c>
      <c r="F152" s="473">
        <v>1000</v>
      </c>
      <c r="G152" s="473">
        <v>1000</v>
      </c>
      <c r="H152" s="473">
        <v>1000</v>
      </c>
      <c r="I152" s="473">
        <v>1000</v>
      </c>
      <c r="J152" s="473">
        <v>1000</v>
      </c>
      <c r="K152" s="473">
        <v>1000</v>
      </c>
      <c r="L152" s="473">
        <v>1000</v>
      </c>
      <c r="M152" s="473">
        <v>1000</v>
      </c>
      <c r="N152" s="473">
        <v>1000</v>
      </c>
      <c r="O152" s="473">
        <v>1000</v>
      </c>
      <c r="P152" s="473">
        <v>1000</v>
      </c>
      <c r="Q152" s="473">
        <v>1000</v>
      </c>
      <c r="R152" s="473">
        <v>1000</v>
      </c>
      <c r="S152" s="473">
        <v>1000</v>
      </c>
      <c r="T152" s="473">
        <v>1000</v>
      </c>
      <c r="U152" s="473">
        <v>1000</v>
      </c>
      <c r="V152" s="473">
        <v>1000</v>
      </c>
      <c r="W152" s="473">
        <v>1000</v>
      </c>
      <c r="X152" s="473">
        <v>1000</v>
      </c>
      <c r="Y152" s="473">
        <v>1000</v>
      </c>
      <c r="Z152" s="473">
        <v>1000</v>
      </c>
    </row>
    <row r="153" spans="1:26">
      <c r="A153" s="172" t="s">
        <v>491</v>
      </c>
      <c r="B153" s="166">
        <f t="shared" ref="B153:Z153" si="73">SUM((B6*20)+(B7*30)+(B8*40))</f>
        <v>0</v>
      </c>
      <c r="C153" s="166">
        <f t="shared" si="73"/>
        <v>0</v>
      </c>
      <c r="D153" s="166">
        <f t="shared" si="73"/>
        <v>11580</v>
      </c>
      <c r="E153" s="166">
        <f t="shared" si="73"/>
        <v>23160</v>
      </c>
      <c r="F153" s="166">
        <f t="shared" si="73"/>
        <v>29480</v>
      </c>
      <c r="G153" s="166">
        <f t="shared" si="73"/>
        <v>35800</v>
      </c>
      <c r="H153" s="166">
        <f t="shared" si="73"/>
        <v>42120</v>
      </c>
      <c r="I153" s="166">
        <f t="shared" si="73"/>
        <v>48440</v>
      </c>
      <c r="J153" s="166">
        <f t="shared" si="73"/>
        <v>48440</v>
      </c>
      <c r="K153" s="166">
        <f t="shared" si="73"/>
        <v>48440</v>
      </c>
      <c r="L153" s="166">
        <f t="shared" si="73"/>
        <v>48440</v>
      </c>
      <c r="M153" s="166">
        <f t="shared" si="73"/>
        <v>48440</v>
      </c>
      <c r="N153" s="166">
        <f t="shared" si="73"/>
        <v>48440</v>
      </c>
      <c r="O153" s="166">
        <f t="shared" si="73"/>
        <v>48440</v>
      </c>
      <c r="P153" s="166">
        <f t="shared" si="73"/>
        <v>48440</v>
      </c>
      <c r="Q153" s="166">
        <f t="shared" si="73"/>
        <v>48440</v>
      </c>
      <c r="R153" s="166">
        <f t="shared" si="73"/>
        <v>48440</v>
      </c>
      <c r="S153" s="166">
        <f t="shared" si="73"/>
        <v>48440</v>
      </c>
      <c r="T153" s="166">
        <f t="shared" si="73"/>
        <v>48440</v>
      </c>
      <c r="U153" s="166">
        <f t="shared" si="73"/>
        <v>48440</v>
      </c>
      <c r="V153" s="166">
        <f t="shared" si="73"/>
        <v>48440</v>
      </c>
      <c r="W153" s="166">
        <f t="shared" si="73"/>
        <v>48440</v>
      </c>
      <c r="X153" s="166">
        <f t="shared" si="73"/>
        <v>48440</v>
      </c>
      <c r="Y153" s="166">
        <f t="shared" si="73"/>
        <v>48440</v>
      </c>
      <c r="Z153" s="166">
        <f t="shared" si="73"/>
        <v>48440</v>
      </c>
    </row>
    <row r="154" spans="1:26">
      <c r="A154" s="172" t="s">
        <v>490</v>
      </c>
      <c r="B154" s="196">
        <f>SUM('Key Assumptions'!C118)</f>
        <v>40</v>
      </c>
    </row>
    <row r="155" spans="1:26">
      <c r="A155" s="172" t="s">
        <v>492</v>
      </c>
      <c r="B155" s="166">
        <v>0</v>
      </c>
      <c r="C155" s="166">
        <v>0</v>
      </c>
      <c r="D155" s="177">
        <f>SUM(D153/B154)</f>
        <v>289.5</v>
      </c>
      <c r="E155" s="177">
        <f>SUM(E153/B154)</f>
        <v>579</v>
      </c>
      <c r="F155" s="177">
        <f>SUM(F153/B154)</f>
        <v>737</v>
      </c>
      <c r="G155" s="166">
        <f>SUM(G153/B154)</f>
        <v>895</v>
      </c>
      <c r="H155" s="177">
        <f>SUM(H153/B154)</f>
        <v>1053</v>
      </c>
      <c r="I155" s="177">
        <f>SUM(I153/B154)</f>
        <v>1211</v>
      </c>
      <c r="J155" s="177">
        <f>SUM(J153/B154)</f>
        <v>1211</v>
      </c>
      <c r="K155" s="177">
        <f>SUM(K153/B154)</f>
        <v>1211</v>
      </c>
      <c r="L155" s="177">
        <f>SUM(L153/B154)</f>
        <v>1211</v>
      </c>
      <c r="M155" s="177">
        <f>SUM(M153/B154)</f>
        <v>1211</v>
      </c>
      <c r="N155" s="177">
        <f>SUM(N153/B154)</f>
        <v>1211</v>
      </c>
      <c r="O155" s="177">
        <f>SUM(O153/B154)</f>
        <v>1211</v>
      </c>
      <c r="P155" s="177">
        <f>SUM(P153/B154)</f>
        <v>1211</v>
      </c>
      <c r="Q155" s="177">
        <f>SUM(Q153/B154)</f>
        <v>1211</v>
      </c>
      <c r="R155" s="177">
        <f>SUM(R153/B154)</f>
        <v>1211</v>
      </c>
      <c r="S155" s="177">
        <f>SUM(S153/B154)</f>
        <v>1211</v>
      </c>
      <c r="T155" s="177">
        <f>SUM(T153/B154)</f>
        <v>1211</v>
      </c>
      <c r="U155" s="177">
        <f>SUM(U153/B154)</f>
        <v>1211</v>
      </c>
      <c r="V155" s="177">
        <f>SUM(V153/B154)</f>
        <v>1211</v>
      </c>
      <c r="W155" s="177">
        <f>SUM(W153/B154)</f>
        <v>1211</v>
      </c>
      <c r="X155" s="177">
        <f>SUM(X153/B154)</f>
        <v>1211</v>
      </c>
      <c r="Y155" s="177">
        <f>SUM(Y153/B154)</f>
        <v>1211</v>
      </c>
      <c r="Z155" s="177">
        <f>SUM(Z153/B154)</f>
        <v>1211</v>
      </c>
    </row>
    <row r="156" spans="1:26" ht="30">
      <c r="A156" s="474" t="s">
        <v>493</v>
      </c>
      <c r="B156" s="475">
        <f>ROUNDUP(B155/B152,0)</f>
        <v>0</v>
      </c>
      <c r="C156" s="475">
        <f t="shared" ref="C156:U156" si="74">ROUNDUP(C155/C152,0)</f>
        <v>0</v>
      </c>
      <c r="D156" s="475">
        <f t="shared" si="74"/>
        <v>1</v>
      </c>
      <c r="E156" s="475">
        <f t="shared" si="74"/>
        <v>1</v>
      </c>
      <c r="F156" s="475">
        <f t="shared" si="74"/>
        <v>1</v>
      </c>
      <c r="G156" s="475">
        <f t="shared" si="74"/>
        <v>1</v>
      </c>
      <c r="H156" s="475">
        <f t="shared" si="74"/>
        <v>2</v>
      </c>
      <c r="I156" s="475">
        <f t="shared" si="74"/>
        <v>2</v>
      </c>
      <c r="J156" s="475">
        <f t="shared" si="74"/>
        <v>2</v>
      </c>
      <c r="K156" s="475">
        <f t="shared" si="74"/>
        <v>2</v>
      </c>
      <c r="L156" s="475">
        <f t="shared" si="74"/>
        <v>2</v>
      </c>
      <c r="M156" s="475">
        <f t="shared" si="74"/>
        <v>2</v>
      </c>
      <c r="N156" s="475">
        <f t="shared" si="74"/>
        <v>2</v>
      </c>
      <c r="O156" s="475">
        <f t="shared" si="74"/>
        <v>2</v>
      </c>
      <c r="P156" s="475">
        <f t="shared" si="74"/>
        <v>2</v>
      </c>
      <c r="Q156" s="475">
        <f t="shared" si="74"/>
        <v>2</v>
      </c>
      <c r="R156" s="475">
        <f t="shared" si="74"/>
        <v>2</v>
      </c>
      <c r="S156" s="475">
        <f t="shared" si="74"/>
        <v>2</v>
      </c>
      <c r="T156" s="475">
        <f t="shared" si="74"/>
        <v>2</v>
      </c>
      <c r="U156" s="475">
        <f t="shared" si="74"/>
        <v>2</v>
      </c>
      <c r="V156" s="475">
        <f t="shared" ref="V156:Z156" si="75">ROUNDUP(V155/V152,0)</f>
        <v>2</v>
      </c>
      <c r="W156" s="475">
        <f t="shared" si="75"/>
        <v>2</v>
      </c>
      <c r="X156" s="475">
        <f t="shared" si="75"/>
        <v>2</v>
      </c>
      <c r="Y156" s="475">
        <f t="shared" si="75"/>
        <v>2</v>
      </c>
      <c r="Z156" s="475">
        <f t="shared" si="75"/>
        <v>2</v>
      </c>
    </row>
    <row r="159" spans="1:26" ht="30">
      <c r="A159" s="487" t="s">
        <v>519</v>
      </c>
    </row>
    <row r="160" spans="1:26">
      <c r="A160" s="172"/>
      <c r="B160" s="722" t="s">
        <v>78</v>
      </c>
      <c r="C160" s="722"/>
      <c r="D160" s="722"/>
      <c r="E160" s="722"/>
      <c r="F160" s="722" t="s">
        <v>79</v>
      </c>
      <c r="G160" s="722"/>
      <c r="H160" s="722"/>
      <c r="I160" s="722"/>
      <c r="J160" s="722" t="s">
        <v>80</v>
      </c>
      <c r="K160" s="722"/>
      <c r="L160" s="722"/>
      <c r="M160" s="722"/>
      <c r="N160" s="722" t="s">
        <v>81</v>
      </c>
      <c r="O160" s="722"/>
      <c r="P160" s="722"/>
      <c r="Q160" s="722"/>
      <c r="R160" s="722" t="s">
        <v>82</v>
      </c>
      <c r="S160" s="722"/>
      <c r="T160" s="722"/>
      <c r="U160" s="722"/>
      <c r="V160" s="723" t="s">
        <v>604</v>
      </c>
      <c r="W160" s="723"/>
      <c r="X160" s="723"/>
      <c r="Y160" s="723"/>
      <c r="Z160" s="723"/>
    </row>
    <row r="161" spans="1:26">
      <c r="A161" t="s">
        <v>365</v>
      </c>
      <c r="B161" s="481" t="s">
        <v>316</v>
      </c>
      <c r="C161" s="481" t="s">
        <v>317</v>
      </c>
      <c r="D161" s="481" t="s">
        <v>318</v>
      </c>
      <c r="E161" s="481" t="s">
        <v>319</v>
      </c>
      <c r="F161" s="481" t="s">
        <v>316</v>
      </c>
      <c r="G161" s="481" t="s">
        <v>317</v>
      </c>
      <c r="H161" s="481" t="s">
        <v>318</v>
      </c>
      <c r="I161" s="481" t="s">
        <v>319</v>
      </c>
      <c r="J161" s="481" t="s">
        <v>316</v>
      </c>
      <c r="K161" s="481" t="s">
        <v>317</v>
      </c>
      <c r="L161" s="481" t="s">
        <v>318</v>
      </c>
      <c r="M161" s="481" t="s">
        <v>319</v>
      </c>
      <c r="N161" s="481" t="s">
        <v>316</v>
      </c>
      <c r="O161" s="481" t="s">
        <v>317</v>
      </c>
      <c r="P161" s="481" t="s">
        <v>318</v>
      </c>
      <c r="Q161" s="481" t="s">
        <v>319</v>
      </c>
      <c r="R161" s="481" t="s">
        <v>316</v>
      </c>
      <c r="S161" s="481" t="s">
        <v>317</v>
      </c>
      <c r="T161" s="481" t="s">
        <v>318</v>
      </c>
      <c r="U161" s="481" t="s">
        <v>319</v>
      </c>
      <c r="V161" s="551">
        <v>6</v>
      </c>
      <c r="W161" s="551">
        <v>7</v>
      </c>
      <c r="X161" s="551">
        <v>8</v>
      </c>
      <c r="Y161" s="551">
        <v>9</v>
      </c>
      <c r="Z161" s="551">
        <v>10</v>
      </c>
    </row>
    <row r="162" spans="1:26">
      <c r="A162" s="172" t="s">
        <v>495</v>
      </c>
      <c r="B162" s="473">
        <v>1000</v>
      </c>
      <c r="C162" s="473">
        <v>1000</v>
      </c>
      <c r="D162" s="473">
        <v>1000</v>
      </c>
      <c r="E162" s="473">
        <v>1000</v>
      </c>
      <c r="F162" s="473">
        <v>1000</v>
      </c>
      <c r="G162" s="473">
        <v>1000</v>
      </c>
      <c r="H162" s="473">
        <v>1000</v>
      </c>
      <c r="I162" s="473">
        <v>1000</v>
      </c>
      <c r="J162" s="473">
        <v>1000</v>
      </c>
      <c r="K162" s="473">
        <v>1000</v>
      </c>
      <c r="L162" s="473">
        <v>1000</v>
      </c>
      <c r="M162" s="473">
        <v>1000</v>
      </c>
      <c r="N162" s="473">
        <v>1000</v>
      </c>
      <c r="O162" s="473">
        <v>1000</v>
      </c>
      <c r="P162" s="473">
        <v>1000</v>
      </c>
      <c r="Q162" s="473">
        <v>1000</v>
      </c>
      <c r="R162" s="473">
        <v>1000</v>
      </c>
      <c r="S162" s="473">
        <v>1000</v>
      </c>
      <c r="T162" s="473">
        <v>1000</v>
      </c>
      <c r="U162" s="473">
        <v>1000</v>
      </c>
      <c r="V162" s="473">
        <v>1000</v>
      </c>
      <c r="W162" s="473">
        <v>1000</v>
      </c>
      <c r="X162" s="473">
        <v>1000</v>
      </c>
      <c r="Y162" s="473">
        <v>1000</v>
      </c>
      <c r="Z162" s="473">
        <v>1000</v>
      </c>
    </row>
    <row r="163" spans="1:26">
      <c r="A163" s="172" t="s">
        <v>491</v>
      </c>
      <c r="B163" s="166">
        <f t="shared" ref="B163:Z163" si="76">SUM((B20*20)+(B21*40)+(B22*60)+(B23*80)+(B24*100))</f>
        <v>0</v>
      </c>
      <c r="C163" s="166">
        <f t="shared" si="76"/>
        <v>0</v>
      </c>
      <c r="D163" s="166">
        <f t="shared" si="76"/>
        <v>1160</v>
      </c>
      <c r="E163" s="166">
        <f t="shared" si="76"/>
        <v>1420</v>
      </c>
      <c r="F163" s="166">
        <f t="shared" si="76"/>
        <v>2100</v>
      </c>
      <c r="G163" s="166">
        <f t="shared" si="76"/>
        <v>2780</v>
      </c>
      <c r="H163" s="166">
        <f t="shared" si="76"/>
        <v>3460</v>
      </c>
      <c r="I163" s="166">
        <f t="shared" si="76"/>
        <v>4140</v>
      </c>
      <c r="J163" s="166">
        <f t="shared" si="76"/>
        <v>4140</v>
      </c>
      <c r="K163" s="166">
        <f t="shared" si="76"/>
        <v>4140</v>
      </c>
      <c r="L163" s="166">
        <f t="shared" si="76"/>
        <v>4140</v>
      </c>
      <c r="M163" s="166">
        <f t="shared" si="76"/>
        <v>4140</v>
      </c>
      <c r="N163" s="166">
        <f t="shared" si="76"/>
        <v>4140</v>
      </c>
      <c r="O163" s="166">
        <f t="shared" si="76"/>
        <v>4140</v>
      </c>
      <c r="P163" s="166">
        <f t="shared" si="76"/>
        <v>4140</v>
      </c>
      <c r="Q163" s="166">
        <f t="shared" si="76"/>
        <v>4140</v>
      </c>
      <c r="R163" s="166">
        <f t="shared" si="76"/>
        <v>4140</v>
      </c>
      <c r="S163" s="166">
        <f t="shared" si="76"/>
        <v>4140</v>
      </c>
      <c r="T163" s="166">
        <f t="shared" si="76"/>
        <v>4140</v>
      </c>
      <c r="U163" s="166">
        <f t="shared" si="76"/>
        <v>4140</v>
      </c>
      <c r="V163" s="166">
        <f t="shared" si="76"/>
        <v>4140</v>
      </c>
      <c r="W163" s="166">
        <f t="shared" si="76"/>
        <v>4140</v>
      </c>
      <c r="X163" s="166">
        <f t="shared" si="76"/>
        <v>4140</v>
      </c>
      <c r="Y163" s="166">
        <f t="shared" si="76"/>
        <v>4140</v>
      </c>
      <c r="Z163" s="166">
        <f t="shared" si="76"/>
        <v>4140</v>
      </c>
    </row>
    <row r="164" spans="1:26">
      <c r="A164" s="172" t="s">
        <v>490</v>
      </c>
      <c r="B164" s="196">
        <f>SUM('Key Assumptions'!C119)</f>
        <v>40</v>
      </c>
    </row>
    <row r="165" spans="1:26">
      <c r="A165" s="172" t="s">
        <v>492</v>
      </c>
      <c r="B165" s="166">
        <v>0</v>
      </c>
      <c r="C165" s="166">
        <v>0</v>
      </c>
      <c r="D165" s="177">
        <f>SUM(D163/B164)</f>
        <v>29</v>
      </c>
      <c r="E165" s="177">
        <f>SUM(E163/B164)</f>
        <v>35.5</v>
      </c>
      <c r="F165" s="177">
        <f>SUM(F163/B164)</f>
        <v>52.5</v>
      </c>
      <c r="G165" s="166">
        <f>SUM(G163/B164)</f>
        <v>69.5</v>
      </c>
      <c r="H165" s="177">
        <f>SUM(H163/B164)</f>
        <v>86.5</v>
      </c>
      <c r="I165" s="177">
        <f>SUM(I163/B164)</f>
        <v>103.5</v>
      </c>
      <c r="J165" s="177">
        <f>SUM(J163/B164)</f>
        <v>103.5</v>
      </c>
      <c r="K165" s="177">
        <f>SUM(K163/B164)</f>
        <v>103.5</v>
      </c>
      <c r="L165" s="177">
        <f>SUM(L163/B164)</f>
        <v>103.5</v>
      </c>
      <c r="M165" s="177">
        <f>SUM(M163/B164)</f>
        <v>103.5</v>
      </c>
      <c r="N165" s="177">
        <f>SUM(N163/B164)</f>
        <v>103.5</v>
      </c>
      <c r="O165" s="177">
        <f>SUM(O163/B164)</f>
        <v>103.5</v>
      </c>
      <c r="P165" s="177">
        <f>SUM(P163/B164)</f>
        <v>103.5</v>
      </c>
      <c r="Q165" s="177">
        <f>SUM(Q163/B164)</f>
        <v>103.5</v>
      </c>
      <c r="R165" s="177">
        <f>SUM(R163/B164)</f>
        <v>103.5</v>
      </c>
      <c r="S165" s="177">
        <f>SUM(S163/B164)</f>
        <v>103.5</v>
      </c>
      <c r="T165" s="177">
        <f>SUM(T163/B164)</f>
        <v>103.5</v>
      </c>
      <c r="U165" s="177">
        <f>SUM(U163/B164)</f>
        <v>103.5</v>
      </c>
      <c r="V165" s="177">
        <f>SUM(V163/B164)</f>
        <v>103.5</v>
      </c>
      <c r="W165" s="177">
        <f>SUM(W163/B164)</f>
        <v>103.5</v>
      </c>
      <c r="X165" s="177">
        <f>SUM(X163/B164)</f>
        <v>103.5</v>
      </c>
      <c r="Y165" s="177">
        <f>SUM(Y163/B164)</f>
        <v>103.5</v>
      </c>
      <c r="Z165" s="177">
        <f>SUM(Z163/B164)</f>
        <v>103.5</v>
      </c>
    </row>
    <row r="166" spans="1:26" ht="30">
      <c r="A166" s="474" t="s">
        <v>493</v>
      </c>
      <c r="B166" s="475">
        <f>ROUNDUP(B165/B162,0)</f>
        <v>0</v>
      </c>
      <c r="C166" s="475">
        <f t="shared" ref="C166:U166" si="77">ROUNDUP(C165/C162,0)</f>
        <v>0</v>
      </c>
      <c r="D166" s="475">
        <f t="shared" si="77"/>
        <v>1</v>
      </c>
      <c r="E166" s="475">
        <f t="shared" si="77"/>
        <v>1</v>
      </c>
      <c r="F166" s="475">
        <f t="shared" si="77"/>
        <v>1</v>
      </c>
      <c r="G166" s="475">
        <f t="shared" si="77"/>
        <v>1</v>
      </c>
      <c r="H166" s="475">
        <f t="shared" si="77"/>
        <v>1</v>
      </c>
      <c r="I166" s="475">
        <f t="shared" si="77"/>
        <v>1</v>
      </c>
      <c r="J166" s="475">
        <f t="shared" si="77"/>
        <v>1</v>
      </c>
      <c r="K166" s="475">
        <f t="shared" si="77"/>
        <v>1</v>
      </c>
      <c r="L166" s="475">
        <f t="shared" si="77"/>
        <v>1</v>
      </c>
      <c r="M166" s="475">
        <f t="shared" si="77"/>
        <v>1</v>
      </c>
      <c r="N166" s="475">
        <f t="shared" si="77"/>
        <v>1</v>
      </c>
      <c r="O166" s="475">
        <f t="shared" si="77"/>
        <v>1</v>
      </c>
      <c r="P166" s="475">
        <f t="shared" si="77"/>
        <v>1</v>
      </c>
      <c r="Q166" s="475">
        <f t="shared" si="77"/>
        <v>1</v>
      </c>
      <c r="R166" s="475">
        <f t="shared" si="77"/>
        <v>1</v>
      </c>
      <c r="S166" s="475">
        <f t="shared" si="77"/>
        <v>1</v>
      </c>
      <c r="T166" s="475">
        <f t="shared" si="77"/>
        <v>1</v>
      </c>
      <c r="U166" s="475">
        <f t="shared" si="77"/>
        <v>1</v>
      </c>
      <c r="V166" s="475">
        <f t="shared" ref="V166:Z166" si="78">ROUNDUP(V165/V162,0)</f>
        <v>1</v>
      </c>
      <c r="W166" s="475">
        <f t="shared" si="78"/>
        <v>1</v>
      </c>
      <c r="X166" s="475">
        <f t="shared" si="78"/>
        <v>1</v>
      </c>
      <c r="Y166" s="475">
        <f t="shared" si="78"/>
        <v>1</v>
      </c>
      <c r="Z166" s="475">
        <f t="shared" si="78"/>
        <v>1</v>
      </c>
    </row>
    <row r="170" spans="1:26">
      <c r="A170" t="s">
        <v>520</v>
      </c>
    </row>
  </sheetData>
  <mergeCells count="38">
    <mergeCell ref="V160:Z160"/>
    <mergeCell ref="M124:N127"/>
    <mergeCell ref="M132:N135"/>
    <mergeCell ref="V3:Z3"/>
    <mergeCell ref="V67:Z67"/>
    <mergeCell ref="V82:Z82"/>
    <mergeCell ref="V115:Z115"/>
    <mergeCell ref="V150:Z150"/>
    <mergeCell ref="B82:E82"/>
    <mergeCell ref="F82:I82"/>
    <mergeCell ref="J82:M82"/>
    <mergeCell ref="N82:Q82"/>
    <mergeCell ref="R82:U82"/>
    <mergeCell ref="B115:E115"/>
    <mergeCell ref="F115:I115"/>
    <mergeCell ref="J115:M115"/>
    <mergeCell ref="N115:Q115"/>
    <mergeCell ref="R115:U115"/>
    <mergeCell ref="B3:E3"/>
    <mergeCell ref="F3:I3"/>
    <mergeCell ref="J3:M3"/>
    <mergeCell ref="N3:Q3"/>
    <mergeCell ref="R3:U3"/>
    <mergeCell ref="B67:E67"/>
    <mergeCell ref="F67:I67"/>
    <mergeCell ref="J67:M67"/>
    <mergeCell ref="N67:Q67"/>
    <mergeCell ref="R67:U67"/>
    <mergeCell ref="B150:E150"/>
    <mergeCell ref="F150:I150"/>
    <mergeCell ref="J150:M150"/>
    <mergeCell ref="N150:Q150"/>
    <mergeCell ref="R150:U150"/>
    <mergeCell ref="B160:E160"/>
    <mergeCell ref="F160:I160"/>
    <mergeCell ref="J160:M160"/>
    <mergeCell ref="N160:Q160"/>
    <mergeCell ref="R160:U160"/>
  </mergeCells>
  <phoneticPr fontId="38" type="noConversion"/>
  <pageMargins left="0.7" right="0.7" top="0.75" bottom="0.75" header="0.3" footer="0.3"/>
  <pageSetup orientation="portrait" horizontalDpi="30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>
  <dimension ref="A1:I62"/>
  <sheetViews>
    <sheetView topLeftCell="A9" workbookViewId="0">
      <selection activeCell="C16" sqref="C16"/>
    </sheetView>
  </sheetViews>
  <sheetFormatPr defaultColWidth="8.85546875" defaultRowHeight="15"/>
  <cols>
    <col min="1" max="1" width="24.42578125" customWidth="1"/>
    <col min="2" max="2" width="32.28515625" customWidth="1"/>
    <col min="3" max="3" width="17.42578125" customWidth="1"/>
    <col min="4" max="4" width="14.28515625" style="319" customWidth="1"/>
    <col min="5" max="5" width="25.140625" style="319" customWidth="1"/>
    <col min="6" max="6" width="29.140625" style="190" customWidth="1"/>
    <col min="7" max="7" width="15.42578125" style="190" customWidth="1"/>
    <col min="8" max="8" width="14.7109375" style="190" customWidth="1"/>
    <col min="9" max="9" width="8.85546875" style="190"/>
  </cols>
  <sheetData>
    <row r="1" spans="1:9">
      <c r="A1" s="318" t="s">
        <v>389</v>
      </c>
    </row>
    <row r="3" spans="1:9">
      <c r="A3" s="320" t="s">
        <v>281</v>
      </c>
      <c r="B3" s="320"/>
      <c r="C3" s="321" t="s">
        <v>282</v>
      </c>
      <c r="D3" s="322" t="s">
        <v>283</v>
      </c>
      <c r="E3" s="322" t="s">
        <v>387</v>
      </c>
      <c r="F3" s="323" t="s">
        <v>388</v>
      </c>
    </row>
    <row r="4" spans="1:9">
      <c r="A4" s="727" t="s">
        <v>433</v>
      </c>
      <c r="B4" s="728"/>
      <c r="C4" s="729"/>
      <c r="D4" s="729"/>
      <c r="E4" s="729"/>
      <c r="F4" s="730"/>
    </row>
    <row r="5" spans="1:9" ht="30">
      <c r="A5" s="725" t="s">
        <v>434</v>
      </c>
      <c r="B5" s="338" t="s">
        <v>390</v>
      </c>
      <c r="C5" s="359">
        <v>35089</v>
      </c>
      <c r="D5" s="361">
        <v>4</v>
      </c>
      <c r="E5" s="465">
        <f>ROUND(D5*C5,2)</f>
        <v>140356</v>
      </c>
      <c r="F5" s="325" t="s">
        <v>391</v>
      </c>
    </row>
    <row r="6" spans="1:9" ht="30">
      <c r="A6" s="726"/>
      <c r="B6" s="338" t="s">
        <v>392</v>
      </c>
      <c r="C6" s="359">
        <v>8300</v>
      </c>
      <c r="D6" s="361">
        <v>4</v>
      </c>
      <c r="E6" s="465">
        <f t="shared" ref="E6:E12" si="0">ROUND(D6*C6,2)</f>
        <v>33200</v>
      </c>
      <c r="F6" s="326" t="s">
        <v>393</v>
      </c>
    </row>
    <row r="7" spans="1:9">
      <c r="A7" s="725" t="s">
        <v>394</v>
      </c>
      <c r="B7" s="338" t="s">
        <v>395</v>
      </c>
      <c r="C7" s="359">
        <v>120550</v>
      </c>
      <c r="D7" s="361">
        <v>3</v>
      </c>
      <c r="E7" s="465">
        <f t="shared" si="0"/>
        <v>361650</v>
      </c>
      <c r="F7" s="326" t="s">
        <v>396</v>
      </c>
    </row>
    <row r="8" spans="1:9">
      <c r="A8" s="726"/>
      <c r="B8" s="338" t="s">
        <v>397</v>
      </c>
      <c r="C8" s="359">
        <v>120550</v>
      </c>
      <c r="D8" s="361">
        <v>3</v>
      </c>
      <c r="E8" s="465">
        <f t="shared" si="0"/>
        <v>361650</v>
      </c>
      <c r="F8" s="326" t="s">
        <v>398</v>
      </c>
    </row>
    <row r="9" spans="1:9" ht="30">
      <c r="A9" s="725" t="s">
        <v>399</v>
      </c>
      <c r="B9" s="338" t="s">
        <v>400</v>
      </c>
      <c r="C9" s="359">
        <v>3973.4</v>
      </c>
      <c r="D9" s="361">
        <v>3</v>
      </c>
      <c r="E9" s="465">
        <f t="shared" si="0"/>
        <v>11920.2</v>
      </c>
      <c r="F9" s="326" t="s">
        <v>401</v>
      </c>
    </row>
    <row r="10" spans="1:9">
      <c r="A10" s="726"/>
      <c r="B10" s="338" t="s">
        <v>402</v>
      </c>
      <c r="C10" s="359">
        <v>9538.9699999999993</v>
      </c>
      <c r="D10" s="361">
        <v>6</v>
      </c>
      <c r="E10" s="465">
        <f t="shared" si="0"/>
        <v>57233.82</v>
      </c>
      <c r="F10" s="326"/>
      <c r="G10" s="363"/>
      <c r="H10" s="363"/>
    </row>
    <row r="11" spans="1:9">
      <c r="A11" s="726"/>
      <c r="B11" s="338" t="s">
        <v>403</v>
      </c>
      <c r="C11" s="359">
        <v>800</v>
      </c>
      <c r="D11" s="361">
        <v>6</v>
      </c>
      <c r="E11" s="465">
        <f t="shared" si="0"/>
        <v>4800</v>
      </c>
      <c r="F11" s="326"/>
      <c r="G11" s="344"/>
      <c r="H11" s="344"/>
    </row>
    <row r="12" spans="1:9" ht="30">
      <c r="A12" s="328" t="s">
        <v>404</v>
      </c>
      <c r="B12" s="338" t="s">
        <v>289</v>
      </c>
      <c r="C12" s="360">
        <v>1713745</v>
      </c>
      <c r="D12" s="361">
        <v>1</v>
      </c>
      <c r="E12" s="465">
        <f t="shared" si="0"/>
        <v>1713745</v>
      </c>
      <c r="F12" s="326" t="s">
        <v>452</v>
      </c>
      <c r="G12" s="364">
        <f>SUM(E5:E12)</f>
        <v>2684555.02</v>
      </c>
      <c r="H12" s="363"/>
      <c r="I12" s="376">
        <f>+C12/D36</f>
        <v>634.72037037037035</v>
      </c>
    </row>
    <row r="13" spans="1:9">
      <c r="A13" s="329" t="s">
        <v>206</v>
      </c>
      <c r="B13" s="330"/>
      <c r="C13" s="373">
        <v>635</v>
      </c>
      <c r="D13" s="374" t="s">
        <v>427</v>
      </c>
      <c r="E13" s="331"/>
      <c r="F13" s="326"/>
      <c r="G13" s="364"/>
      <c r="H13" s="363"/>
      <c r="I13" s="190">
        <v>800</v>
      </c>
    </row>
    <row r="14" spans="1:9">
      <c r="A14" s="332"/>
      <c r="B14" s="333"/>
      <c r="C14" s="334"/>
      <c r="D14" s="335"/>
      <c r="E14" s="336"/>
      <c r="F14" s="337"/>
      <c r="G14" s="364"/>
      <c r="H14" s="363"/>
    </row>
    <row r="15" spans="1:9">
      <c r="A15" s="731" t="s">
        <v>453</v>
      </c>
      <c r="B15" s="732"/>
      <c r="C15" s="733"/>
      <c r="D15" s="733"/>
      <c r="E15" s="733"/>
      <c r="F15" s="734"/>
      <c r="G15" s="364"/>
      <c r="H15" s="363"/>
    </row>
    <row r="16" spans="1:9">
      <c r="A16" s="725" t="s">
        <v>454</v>
      </c>
      <c r="B16" s="324" t="s">
        <v>360</v>
      </c>
      <c r="C16" s="359">
        <v>1750</v>
      </c>
      <c r="D16" s="362">
        <v>4650</v>
      </c>
      <c r="E16" s="465">
        <f t="shared" ref="E16:E31" si="1">ROUND(D16*C16,2)</f>
        <v>8137500</v>
      </c>
      <c r="F16" s="325" t="s">
        <v>361</v>
      </c>
      <c r="G16" s="364"/>
      <c r="H16" s="363"/>
    </row>
    <row r="17" spans="1:9">
      <c r="A17" s="726"/>
      <c r="B17" s="324" t="s">
        <v>405</v>
      </c>
      <c r="C17" s="466">
        <v>2.5960000000000001</v>
      </c>
      <c r="D17" s="362">
        <v>830328.29</v>
      </c>
      <c r="E17" s="465">
        <f t="shared" si="1"/>
        <v>2155532.2400000002</v>
      </c>
      <c r="F17" s="326" t="s">
        <v>406</v>
      </c>
      <c r="G17" s="364"/>
      <c r="H17" s="363"/>
    </row>
    <row r="18" spans="1:9">
      <c r="A18" s="726"/>
      <c r="B18" s="324" t="s">
        <v>296</v>
      </c>
      <c r="C18" s="359">
        <v>1</v>
      </c>
      <c r="D18" s="362">
        <v>830328.29</v>
      </c>
      <c r="E18" s="465">
        <f t="shared" si="1"/>
        <v>830328.29</v>
      </c>
      <c r="F18" s="326" t="s">
        <v>406</v>
      </c>
      <c r="G18" s="364"/>
      <c r="H18" s="363"/>
    </row>
    <row r="19" spans="1:9" ht="30">
      <c r="A19" s="726"/>
      <c r="B19" s="324" t="s">
        <v>297</v>
      </c>
      <c r="C19" s="359">
        <v>15000</v>
      </c>
      <c r="D19" s="362">
        <v>137</v>
      </c>
      <c r="E19" s="465">
        <f t="shared" si="1"/>
        <v>2055000</v>
      </c>
      <c r="F19" s="326" t="s">
        <v>298</v>
      </c>
      <c r="G19" s="364"/>
      <c r="H19" s="363"/>
    </row>
    <row r="20" spans="1:9">
      <c r="A20" s="726"/>
      <c r="B20" s="324" t="s">
        <v>299</v>
      </c>
      <c r="C20" s="359">
        <v>15</v>
      </c>
      <c r="D20" s="362">
        <v>27216</v>
      </c>
      <c r="E20" s="465">
        <f t="shared" si="1"/>
        <v>408240</v>
      </c>
      <c r="F20" s="326" t="s">
        <v>300</v>
      </c>
      <c r="G20" s="364"/>
      <c r="H20" s="363"/>
    </row>
    <row r="21" spans="1:9">
      <c r="A21" s="726"/>
      <c r="B21" s="324" t="s">
        <v>460</v>
      </c>
      <c r="C21" s="359">
        <v>20</v>
      </c>
      <c r="D21" s="362">
        <v>2688</v>
      </c>
      <c r="E21" s="465">
        <f t="shared" si="1"/>
        <v>53760</v>
      </c>
      <c r="F21" s="326" t="s">
        <v>461</v>
      </c>
      <c r="G21" s="364"/>
      <c r="H21" s="363"/>
    </row>
    <row r="22" spans="1:9">
      <c r="A22" s="726"/>
      <c r="B22" s="324" t="s">
        <v>462</v>
      </c>
      <c r="C22" s="359">
        <v>300</v>
      </c>
      <c r="D22" s="362">
        <v>441</v>
      </c>
      <c r="E22" s="465">
        <f t="shared" si="1"/>
        <v>132300</v>
      </c>
      <c r="F22" s="326"/>
      <c r="G22" s="364"/>
      <c r="H22" s="363"/>
    </row>
    <row r="23" spans="1:9">
      <c r="A23" s="726"/>
      <c r="B23" s="324" t="s">
        <v>463</v>
      </c>
      <c r="C23" s="359">
        <v>550</v>
      </c>
      <c r="D23" s="362">
        <v>413</v>
      </c>
      <c r="E23" s="465">
        <f t="shared" si="1"/>
        <v>227150</v>
      </c>
      <c r="F23" s="326"/>
      <c r="G23" s="364"/>
      <c r="H23" s="363"/>
    </row>
    <row r="24" spans="1:9">
      <c r="A24" s="726"/>
      <c r="B24" s="324" t="s">
        <v>464</v>
      </c>
      <c r="C24" s="359">
        <v>5030.1000000000004</v>
      </c>
      <c r="D24" s="362">
        <v>28</v>
      </c>
      <c r="E24" s="465">
        <f t="shared" si="1"/>
        <v>140842.79999999999</v>
      </c>
      <c r="F24" s="326"/>
      <c r="G24" s="364"/>
      <c r="H24" s="363"/>
    </row>
    <row r="25" spans="1:9">
      <c r="A25" s="726"/>
      <c r="B25" s="324" t="s">
        <v>465</v>
      </c>
      <c r="C25" s="359">
        <v>1112</v>
      </c>
      <c r="D25" s="362">
        <v>10</v>
      </c>
      <c r="E25" s="465">
        <f t="shared" si="1"/>
        <v>11120</v>
      </c>
      <c r="F25" s="337"/>
      <c r="G25" s="364"/>
      <c r="H25" s="363"/>
    </row>
    <row r="26" spans="1:9">
      <c r="A26" s="459" t="s">
        <v>345</v>
      </c>
      <c r="B26" s="324"/>
      <c r="C26" s="359">
        <v>0</v>
      </c>
      <c r="D26" s="362">
        <v>0</v>
      </c>
      <c r="E26" s="465">
        <f t="shared" si="1"/>
        <v>0</v>
      </c>
      <c r="F26" s="326"/>
      <c r="G26" s="364"/>
      <c r="H26" s="363"/>
      <c r="I26" s="458"/>
    </row>
    <row r="27" spans="1:9">
      <c r="A27" s="725" t="s">
        <v>466</v>
      </c>
      <c r="B27" s="324" t="s">
        <v>467</v>
      </c>
      <c r="C27" s="359">
        <v>1.38</v>
      </c>
      <c r="D27" s="362">
        <v>958678.13</v>
      </c>
      <c r="E27" s="465">
        <f t="shared" si="1"/>
        <v>1322975.82</v>
      </c>
      <c r="F27" s="325"/>
      <c r="G27" s="364"/>
      <c r="H27" s="363"/>
    </row>
    <row r="28" spans="1:9">
      <c r="A28" s="726"/>
      <c r="B28" s="324" t="s">
        <v>468</v>
      </c>
      <c r="C28" s="359">
        <v>10.94</v>
      </c>
      <c r="D28" s="362">
        <v>360873.54</v>
      </c>
      <c r="E28" s="465">
        <f t="shared" si="1"/>
        <v>3947956.53</v>
      </c>
      <c r="F28" s="326"/>
      <c r="G28" s="364"/>
      <c r="H28" s="363"/>
    </row>
    <row r="29" spans="1:9">
      <c r="A29" s="726"/>
      <c r="B29" s="324" t="s">
        <v>469</v>
      </c>
      <c r="C29" s="359">
        <v>800</v>
      </c>
      <c r="D29" s="362">
        <v>444</v>
      </c>
      <c r="E29" s="465">
        <f t="shared" si="1"/>
        <v>355200</v>
      </c>
      <c r="F29" s="326" t="s">
        <v>470</v>
      </c>
      <c r="G29" s="364"/>
      <c r="H29" s="363"/>
    </row>
    <row r="30" spans="1:9">
      <c r="A30" s="726"/>
      <c r="B30" s="324" t="s">
        <v>471</v>
      </c>
      <c r="C30" s="359">
        <v>8000</v>
      </c>
      <c r="D30" s="362">
        <v>24</v>
      </c>
      <c r="E30" s="465">
        <f t="shared" si="1"/>
        <v>192000</v>
      </c>
      <c r="F30" s="326" t="s">
        <v>472</v>
      </c>
      <c r="G30" s="364"/>
      <c r="H30" s="363"/>
    </row>
    <row r="31" spans="1:9" ht="30">
      <c r="A31" s="726"/>
      <c r="B31" s="324" t="s">
        <v>473</v>
      </c>
      <c r="C31" s="359">
        <v>13</v>
      </c>
      <c r="D31" s="362">
        <v>5760</v>
      </c>
      <c r="E31" s="465">
        <f t="shared" si="1"/>
        <v>74880</v>
      </c>
      <c r="F31" s="326" t="s">
        <v>309</v>
      </c>
      <c r="G31" s="364">
        <f>SUM(E16:E31)</f>
        <v>20044785.680000003</v>
      </c>
      <c r="H31" s="363"/>
    </row>
    <row r="32" spans="1:9">
      <c r="A32" s="332"/>
      <c r="B32" s="333"/>
      <c r="C32" s="339"/>
      <c r="D32" s="340"/>
      <c r="E32" s="341"/>
      <c r="F32" s="337"/>
      <c r="G32" s="364"/>
      <c r="H32" s="363"/>
    </row>
    <row r="33" spans="1:8">
      <c r="A33" s="736" t="s">
        <v>416</v>
      </c>
      <c r="B33" s="733"/>
      <c r="C33" s="733"/>
      <c r="D33" s="733"/>
      <c r="E33" s="733"/>
      <c r="F33" s="734"/>
      <c r="G33" s="364"/>
      <c r="H33" s="363"/>
    </row>
    <row r="34" spans="1:8">
      <c r="A34" s="342" t="s">
        <v>312</v>
      </c>
      <c r="B34" s="354" t="s">
        <v>313</v>
      </c>
      <c r="C34" s="359">
        <v>100</v>
      </c>
      <c r="D34" s="361">
        <v>2700</v>
      </c>
      <c r="E34" s="465">
        <f t="shared" ref="E34:E38" si="2">ROUND(D34*C34,2)</f>
        <v>270000</v>
      </c>
      <c r="F34" s="325"/>
      <c r="G34" s="364"/>
      <c r="H34" s="363"/>
    </row>
    <row r="35" spans="1:8">
      <c r="A35" s="342" t="s">
        <v>437</v>
      </c>
      <c r="B35" s="354" t="s">
        <v>438</v>
      </c>
      <c r="C35" s="359">
        <v>250</v>
      </c>
      <c r="D35" s="361">
        <v>2700</v>
      </c>
      <c r="E35" s="465">
        <f t="shared" si="2"/>
        <v>675000</v>
      </c>
      <c r="F35" s="326"/>
      <c r="G35" s="364"/>
      <c r="H35" s="363"/>
    </row>
    <row r="36" spans="1:8">
      <c r="A36" s="343"/>
      <c r="B36" s="355" t="s">
        <v>343</v>
      </c>
      <c r="C36" s="359">
        <v>750</v>
      </c>
      <c r="D36" s="361">
        <v>2700</v>
      </c>
      <c r="E36" s="465">
        <f t="shared" si="2"/>
        <v>2025000</v>
      </c>
      <c r="F36" s="326" t="s">
        <v>439</v>
      </c>
      <c r="G36" s="364"/>
      <c r="H36" s="363"/>
    </row>
    <row r="37" spans="1:8">
      <c r="A37" s="343"/>
      <c r="B37" s="355" t="s">
        <v>349</v>
      </c>
      <c r="C37" s="359">
        <v>237.84</v>
      </c>
      <c r="D37" s="361">
        <v>2637</v>
      </c>
      <c r="E37" s="467">
        <f t="shared" si="2"/>
        <v>627184.07999999996</v>
      </c>
      <c r="F37" s="326" t="s">
        <v>440</v>
      </c>
      <c r="G37" s="364"/>
      <c r="H37" s="363"/>
    </row>
    <row r="38" spans="1:8">
      <c r="A38" s="332"/>
      <c r="B38" s="355" t="s">
        <v>349</v>
      </c>
      <c r="C38" s="359">
        <v>237.84</v>
      </c>
      <c r="D38" s="361">
        <v>63</v>
      </c>
      <c r="E38" s="467">
        <f t="shared" si="2"/>
        <v>14983.92</v>
      </c>
      <c r="F38" s="326" t="s">
        <v>440</v>
      </c>
      <c r="G38" s="364">
        <f>SUM(E34:E38)</f>
        <v>3612168</v>
      </c>
      <c r="H38" s="363"/>
    </row>
    <row r="39" spans="1:8">
      <c r="A39" s="332"/>
      <c r="B39" s="333"/>
      <c r="C39" s="335"/>
      <c r="D39" s="334"/>
      <c r="E39" s="341"/>
      <c r="F39" s="468">
        <f>+E37+E38</f>
        <v>642168</v>
      </c>
      <c r="G39" s="364"/>
      <c r="H39" s="363"/>
    </row>
    <row r="40" spans="1:8">
      <c r="A40" s="727" t="s">
        <v>441</v>
      </c>
      <c r="B40" s="728"/>
      <c r="C40" s="728"/>
      <c r="D40" s="728"/>
      <c r="E40" s="728"/>
      <c r="F40" s="735"/>
      <c r="G40" s="364"/>
      <c r="H40" s="363"/>
    </row>
    <row r="41" spans="1:8">
      <c r="A41" s="737" t="s">
        <v>442</v>
      </c>
      <c r="B41" s="356" t="s">
        <v>443</v>
      </c>
      <c r="C41" s="359">
        <v>120000</v>
      </c>
      <c r="D41" s="361">
        <v>1</v>
      </c>
      <c r="E41" s="465">
        <f t="shared" ref="E41:E44" si="3">ROUND(D41*C41,2)</f>
        <v>120000</v>
      </c>
      <c r="F41" s="325"/>
      <c r="G41" s="364"/>
      <c r="H41" s="363"/>
    </row>
    <row r="42" spans="1:8" ht="30">
      <c r="A42" s="738"/>
      <c r="B42" s="356" t="s">
        <v>444</v>
      </c>
      <c r="C42" s="359">
        <v>135000</v>
      </c>
      <c r="D42" s="361">
        <v>1</v>
      </c>
      <c r="E42" s="465">
        <f t="shared" si="3"/>
        <v>135000</v>
      </c>
      <c r="F42" s="326"/>
      <c r="G42" s="364"/>
      <c r="H42" s="363"/>
    </row>
    <row r="43" spans="1:8">
      <c r="A43" s="345" t="s">
        <v>445</v>
      </c>
      <c r="B43" s="324" t="s">
        <v>446</v>
      </c>
      <c r="C43" s="359">
        <v>20000</v>
      </c>
      <c r="D43" s="361">
        <v>1</v>
      </c>
      <c r="E43" s="465">
        <f t="shared" si="3"/>
        <v>20000</v>
      </c>
      <c r="F43" s="346"/>
      <c r="G43" s="364"/>
      <c r="H43" s="363"/>
    </row>
    <row r="44" spans="1:8">
      <c r="A44" s="345" t="s">
        <v>447</v>
      </c>
      <c r="B44" s="324" t="s">
        <v>448</v>
      </c>
      <c r="C44" s="359">
        <v>10000</v>
      </c>
      <c r="D44" s="361">
        <v>1</v>
      </c>
      <c r="E44" s="465">
        <f t="shared" si="3"/>
        <v>10000</v>
      </c>
      <c r="F44" s="326"/>
      <c r="G44" s="364">
        <f>SUM(E41:E44)</f>
        <v>285000</v>
      </c>
      <c r="H44" s="363"/>
    </row>
    <row r="45" spans="1:8">
      <c r="A45" s="347"/>
      <c r="B45" s="348"/>
      <c r="C45" s="339"/>
      <c r="D45" s="340"/>
      <c r="E45" s="341"/>
      <c r="F45" s="340"/>
      <c r="G45" s="364"/>
      <c r="H45" s="363"/>
    </row>
    <row r="46" spans="1:8">
      <c r="A46" s="727" t="s">
        <v>449</v>
      </c>
      <c r="B46" s="728"/>
      <c r="C46" s="728"/>
      <c r="D46" s="728"/>
      <c r="E46" s="728"/>
      <c r="F46" s="735"/>
      <c r="G46" s="364"/>
      <c r="H46" s="363"/>
    </row>
    <row r="47" spans="1:8" ht="30">
      <c r="A47" s="737" t="s">
        <v>450</v>
      </c>
      <c r="B47" s="356" t="s">
        <v>451</v>
      </c>
      <c r="C47" s="359">
        <v>20975</v>
      </c>
      <c r="D47" s="361">
        <v>1</v>
      </c>
      <c r="E47" s="465">
        <f t="shared" ref="E47:E50" si="4">ROUND(D47*C47,2)</f>
        <v>20975</v>
      </c>
      <c r="F47" s="325"/>
      <c r="G47" s="364"/>
      <c r="H47" s="363"/>
    </row>
    <row r="48" spans="1:8">
      <c r="A48" s="726"/>
      <c r="B48" s="356" t="s">
        <v>65</v>
      </c>
      <c r="C48" s="359">
        <v>14995</v>
      </c>
      <c r="D48" s="361">
        <v>1</v>
      </c>
      <c r="E48" s="465">
        <f t="shared" si="4"/>
        <v>14995</v>
      </c>
      <c r="F48" s="326"/>
      <c r="G48" s="364"/>
      <c r="H48" s="363"/>
    </row>
    <row r="49" spans="1:8">
      <c r="A49" s="345" t="s">
        <v>455</v>
      </c>
      <c r="B49" s="324" t="s">
        <v>331</v>
      </c>
      <c r="C49" s="359">
        <v>35031.519999999997</v>
      </c>
      <c r="D49" s="361">
        <v>2</v>
      </c>
      <c r="E49" s="465">
        <f t="shared" si="4"/>
        <v>70063.039999999994</v>
      </c>
      <c r="F49" s="326" t="s">
        <v>458</v>
      </c>
      <c r="G49" s="364"/>
      <c r="H49" s="363"/>
    </row>
    <row r="50" spans="1:8">
      <c r="A50" s="345" t="s">
        <v>253</v>
      </c>
      <c r="B50" s="324" t="s">
        <v>362</v>
      </c>
      <c r="C50" s="359">
        <v>6000</v>
      </c>
      <c r="D50" s="361">
        <v>10</v>
      </c>
      <c r="E50" s="465">
        <f t="shared" si="4"/>
        <v>60000</v>
      </c>
      <c r="F50" s="326"/>
      <c r="G50" s="364">
        <f>SUM(E47:E50)</f>
        <v>166033.03999999998</v>
      </c>
      <c r="H50" s="363"/>
    </row>
    <row r="51" spans="1:8">
      <c r="A51" s="349"/>
      <c r="B51" s="219"/>
      <c r="C51" s="334"/>
      <c r="D51" s="335"/>
      <c r="E51" s="335"/>
      <c r="F51" s="340"/>
      <c r="G51" s="364"/>
      <c r="H51" s="363"/>
    </row>
    <row r="52" spans="1:8">
      <c r="A52" s="727" t="s">
        <v>363</v>
      </c>
      <c r="B52" s="728"/>
      <c r="C52" s="728"/>
      <c r="D52" s="728"/>
      <c r="E52" s="728"/>
      <c r="F52" s="735"/>
      <c r="G52" s="364"/>
      <c r="H52" s="363"/>
    </row>
    <row r="53" spans="1:8">
      <c r="A53" s="350" t="s">
        <v>206</v>
      </c>
      <c r="B53" s="357" t="s">
        <v>407</v>
      </c>
      <c r="C53" s="359">
        <v>20000</v>
      </c>
      <c r="D53" s="361">
        <v>2</v>
      </c>
      <c r="E53" s="465">
        <f t="shared" ref="E53:E58" si="5">ROUND(D53*C53,2)</f>
        <v>40000</v>
      </c>
      <c r="F53" s="325"/>
      <c r="G53" s="364"/>
      <c r="H53" s="363"/>
    </row>
    <row r="54" spans="1:8">
      <c r="A54" s="351"/>
      <c r="B54" s="357" t="s">
        <v>409</v>
      </c>
      <c r="C54" s="359">
        <v>10000</v>
      </c>
      <c r="D54" s="361">
        <v>1</v>
      </c>
      <c r="E54" s="465">
        <f t="shared" si="5"/>
        <v>10000</v>
      </c>
      <c r="F54" s="326"/>
      <c r="G54" s="364"/>
      <c r="H54" s="363"/>
    </row>
    <row r="55" spans="1:8" ht="30">
      <c r="A55" s="351"/>
      <c r="B55" s="358" t="s">
        <v>410</v>
      </c>
      <c r="C55" s="359">
        <v>3000</v>
      </c>
      <c r="D55" s="362">
        <v>68.33</v>
      </c>
      <c r="E55" s="465">
        <f t="shared" si="5"/>
        <v>204990</v>
      </c>
      <c r="F55" s="326"/>
      <c r="G55" s="364"/>
      <c r="H55" s="363"/>
    </row>
    <row r="56" spans="1:8">
      <c r="A56" s="351"/>
      <c r="B56" s="357" t="s">
        <v>411</v>
      </c>
      <c r="C56" s="359">
        <v>957.14285710000001</v>
      </c>
      <c r="D56" s="361">
        <v>35</v>
      </c>
      <c r="E56" s="465">
        <f t="shared" si="5"/>
        <v>33500</v>
      </c>
      <c r="F56" s="326" t="s">
        <v>412</v>
      </c>
      <c r="G56" s="364"/>
      <c r="H56" s="363"/>
    </row>
    <row r="57" spans="1:8">
      <c r="A57" s="351"/>
      <c r="B57" s="357" t="s">
        <v>413</v>
      </c>
      <c r="C57" s="359">
        <v>1004128</v>
      </c>
      <c r="D57" s="361">
        <v>1</v>
      </c>
      <c r="E57" s="465">
        <f t="shared" si="5"/>
        <v>1004128</v>
      </c>
      <c r="F57" s="326"/>
      <c r="G57" s="364"/>
      <c r="H57" s="363"/>
    </row>
    <row r="58" spans="1:8">
      <c r="A58" s="352"/>
      <c r="B58" s="357" t="s">
        <v>414</v>
      </c>
      <c r="C58" s="359">
        <v>1260948.3</v>
      </c>
      <c r="D58" s="361">
        <v>1</v>
      </c>
      <c r="E58" s="465">
        <f t="shared" si="5"/>
        <v>1260948.3</v>
      </c>
      <c r="F58" s="337"/>
      <c r="G58" s="364">
        <f>SUM(E53:E58)</f>
        <v>2553566.2999999998</v>
      </c>
      <c r="H58" s="363"/>
    </row>
    <row r="59" spans="1:8">
      <c r="G59" s="364"/>
      <c r="H59" s="363"/>
    </row>
    <row r="60" spans="1:8">
      <c r="B60" s="172"/>
      <c r="D60" s="353" t="s">
        <v>415</v>
      </c>
      <c r="E60" s="465">
        <f>SUM(E5:E59)</f>
        <v>29346108.040000003</v>
      </c>
      <c r="F60" s="319"/>
      <c r="G60" s="365">
        <f>SUM(G12:G58)</f>
        <v>29346108.040000003</v>
      </c>
      <c r="H60" s="363"/>
    </row>
    <row r="61" spans="1:8">
      <c r="B61" s="172"/>
    </row>
    <row r="62" spans="1:8">
      <c r="B62" s="173"/>
      <c r="G62" s="327"/>
    </row>
  </sheetData>
  <mergeCells count="13">
    <mergeCell ref="A52:F52"/>
    <mergeCell ref="A27:A31"/>
    <mergeCell ref="A33:F33"/>
    <mergeCell ref="A40:F40"/>
    <mergeCell ref="A41:A42"/>
    <mergeCell ref="A46:F46"/>
    <mergeCell ref="A47:A48"/>
    <mergeCell ref="A16:A25"/>
    <mergeCell ref="A4:F4"/>
    <mergeCell ref="A5:A6"/>
    <mergeCell ref="A7:A8"/>
    <mergeCell ref="A9:A11"/>
    <mergeCell ref="A15:F15"/>
  </mergeCells>
  <phoneticPr fontId="3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>
  <dimension ref="A1:R50"/>
  <sheetViews>
    <sheetView topLeftCell="A24" workbookViewId="0">
      <selection activeCell="A46" sqref="A46"/>
    </sheetView>
  </sheetViews>
  <sheetFormatPr defaultColWidth="8.85546875" defaultRowHeight="15"/>
  <cols>
    <col min="1" max="1" width="54.42578125" customWidth="1"/>
    <col min="2" max="9" width="12.7109375" customWidth="1"/>
    <col min="10" max="10" width="14.85546875" customWidth="1"/>
    <col min="11" max="11" width="15.140625" customWidth="1"/>
    <col min="12" max="12" width="15.28515625" bestFit="1" customWidth="1"/>
    <col min="14" max="14" width="9.7109375" customWidth="1"/>
    <col min="15" max="15" width="13.7109375" customWidth="1"/>
    <col min="17" max="17" width="16" customWidth="1"/>
  </cols>
  <sheetData>
    <row r="1" spans="1:17">
      <c r="B1" s="722" t="s">
        <v>172</v>
      </c>
      <c r="C1" s="722"/>
      <c r="D1" s="722"/>
      <c r="E1" s="722"/>
      <c r="F1" s="722"/>
      <c r="G1" s="493"/>
      <c r="H1" s="493"/>
      <c r="I1" s="493"/>
      <c r="L1" t="s">
        <v>612</v>
      </c>
      <c r="M1" t="s">
        <v>611</v>
      </c>
    </row>
    <row r="2" spans="1:17">
      <c r="A2" s="163" t="s">
        <v>417</v>
      </c>
      <c r="B2" s="577">
        <v>1</v>
      </c>
      <c r="C2" s="577">
        <v>2</v>
      </c>
      <c r="D2" s="460">
        <v>3</v>
      </c>
      <c r="E2" s="460">
        <v>4</v>
      </c>
      <c r="F2" s="460">
        <v>5</v>
      </c>
      <c r="G2" s="493">
        <v>6</v>
      </c>
      <c r="H2" s="493">
        <v>7</v>
      </c>
      <c r="I2" s="493">
        <v>8</v>
      </c>
      <c r="J2" s="493">
        <v>9</v>
      </c>
      <c r="K2" s="493">
        <v>10</v>
      </c>
    </row>
    <row r="3" spans="1:17">
      <c r="A3" t="str">
        <f>+'FTTP Estimate'!A15:F15</f>
        <v>Outside Plant</v>
      </c>
      <c r="B3" s="581">
        <v>5011197</v>
      </c>
      <c r="C3" s="581">
        <v>15033589</v>
      </c>
      <c r="D3" s="179">
        <f>+Q3-C3-B3</f>
        <v>0</v>
      </c>
      <c r="E3" s="179">
        <v>0</v>
      </c>
      <c r="F3" s="179">
        <v>0</v>
      </c>
      <c r="G3" s="179"/>
      <c r="H3" s="179"/>
      <c r="I3" s="179"/>
      <c r="J3" s="179"/>
      <c r="K3" s="179"/>
      <c r="L3" s="179">
        <f>SUM(B3:K3)</f>
        <v>20044786</v>
      </c>
      <c r="M3" s="195">
        <v>0.25</v>
      </c>
      <c r="N3" t="s">
        <v>436</v>
      </c>
      <c r="O3" s="195">
        <v>0.75</v>
      </c>
      <c r="P3" t="s">
        <v>385</v>
      </c>
      <c r="Q3" s="179">
        <f>ROUND(SUM('FTTP Estimate'!E16:E31),0)</f>
        <v>20044786</v>
      </c>
    </row>
    <row r="4" spans="1:17" ht="54.75" customHeight="1">
      <c r="B4" s="581"/>
      <c r="C4" s="581"/>
      <c r="D4" s="179">
        <f>ROUND(('Key Assumptions'!C16+'Key Assumptions'!C52)*'Capital Additions'!M4/2,2)</f>
        <v>0</v>
      </c>
      <c r="E4" s="179">
        <f>ROUND(('Key Assumptions'!C16+'Key Assumptions'!C52)*'Capital Additions'!M4/2,2)</f>
        <v>0</v>
      </c>
      <c r="F4" s="179">
        <v>0</v>
      </c>
      <c r="G4" s="179">
        <v>0</v>
      </c>
      <c r="H4" s="179">
        <v>0</v>
      </c>
      <c r="I4" s="179">
        <v>0</v>
      </c>
      <c r="J4" s="179">
        <v>0</v>
      </c>
      <c r="K4" s="179">
        <v>0</v>
      </c>
      <c r="L4" s="179">
        <f t="shared" ref="L4:L47" si="0">SUM(B4:K4)</f>
        <v>0</v>
      </c>
      <c r="M4" s="198">
        <f>SUM('Key Assumptions'!C106)</f>
        <v>1500</v>
      </c>
      <c r="N4" s="741" t="s">
        <v>624</v>
      </c>
      <c r="O4" s="741"/>
      <c r="P4" s="741"/>
      <c r="Q4" s="741"/>
    </row>
    <row r="5" spans="1:17">
      <c r="A5" t="str">
        <f>+'FTTP Estimate'!A52:F52</f>
        <v>Other Upfront Costs</v>
      </c>
      <c r="B5" s="581"/>
      <c r="C5" s="581"/>
      <c r="D5" s="179"/>
      <c r="E5" s="179"/>
      <c r="F5" s="179"/>
      <c r="G5" s="179"/>
      <c r="H5" s="179"/>
      <c r="I5" s="179"/>
      <c r="J5" s="179"/>
      <c r="K5" s="179"/>
      <c r="L5" s="179">
        <f t="shared" si="0"/>
        <v>0</v>
      </c>
    </row>
    <row r="6" spans="1:17">
      <c r="A6" s="172" t="str">
        <f>+'FTTP Estimate'!B58</f>
        <v>Staff Resources</v>
      </c>
      <c r="B6" s="581">
        <v>315237</v>
      </c>
      <c r="C6" s="581">
        <v>945711</v>
      </c>
      <c r="D6" s="179">
        <f>+Q6-C6-B6</f>
        <v>0</v>
      </c>
      <c r="E6" s="179">
        <v>0</v>
      </c>
      <c r="F6" s="179">
        <v>0</v>
      </c>
      <c r="G6" s="179"/>
      <c r="H6" s="179"/>
      <c r="I6" s="179"/>
      <c r="J6" s="179"/>
      <c r="K6" s="179"/>
      <c r="L6" s="179">
        <f t="shared" si="0"/>
        <v>1260948</v>
      </c>
      <c r="M6" s="195">
        <v>0.25</v>
      </c>
      <c r="N6" t="s">
        <v>436</v>
      </c>
      <c r="O6" s="195">
        <v>0.75</v>
      </c>
      <c r="P6" t="s">
        <v>385</v>
      </c>
      <c r="Q6" s="179">
        <f>ROUND('FTTP Estimate'!E58,0)</f>
        <v>1260948</v>
      </c>
    </row>
    <row r="7" spans="1:17">
      <c r="A7" s="172" t="str">
        <f>+'FTTP Estimate'!B57</f>
        <v>Indirect Cost Recovery</v>
      </c>
      <c r="B7" s="581">
        <v>281156</v>
      </c>
      <c r="C7" s="581">
        <v>722972</v>
      </c>
      <c r="D7" s="179">
        <f>+Q7-C7-B7</f>
        <v>0</v>
      </c>
      <c r="E7" s="179">
        <v>0</v>
      </c>
      <c r="F7" s="179">
        <v>0</v>
      </c>
      <c r="G7" s="179"/>
      <c r="H7" s="179"/>
      <c r="I7" s="179"/>
      <c r="J7" s="179"/>
      <c r="K7" s="179"/>
      <c r="L7" s="179">
        <f t="shared" si="0"/>
        <v>1004128</v>
      </c>
      <c r="M7">
        <f>ROUND(B45/$J$45,2)</f>
        <v>0.28000000000000003</v>
      </c>
      <c r="N7" t="s">
        <v>436</v>
      </c>
      <c r="O7">
        <f>ROUND(C45/$J$45,2)</f>
        <v>0.72</v>
      </c>
      <c r="P7" t="s">
        <v>385</v>
      </c>
      <c r="Q7" s="179">
        <f>ROUND('FTTP Estimate'!E57,0)</f>
        <v>1004128</v>
      </c>
    </row>
    <row r="8" spans="1:17">
      <c r="B8" s="581"/>
      <c r="C8" s="581"/>
      <c r="D8" s="179"/>
      <c r="E8" s="179"/>
      <c r="F8" s="179"/>
      <c r="G8" s="179"/>
      <c r="H8" s="179"/>
      <c r="I8" s="179"/>
      <c r="J8" s="179"/>
      <c r="K8" s="179"/>
      <c r="L8" s="179">
        <f t="shared" si="0"/>
        <v>0</v>
      </c>
    </row>
    <row r="9" spans="1:17" ht="15" customHeight="1">
      <c r="A9" t="s">
        <v>344</v>
      </c>
      <c r="B9" s="581"/>
      <c r="C9" s="581"/>
      <c r="D9" s="198">
        <f>-SUM(D4*M9)</f>
        <v>0</v>
      </c>
      <c r="E9" s="198">
        <f>-SUM(E4*M9)</f>
        <v>0</v>
      </c>
      <c r="F9" s="198">
        <f>-SUM(F4*M9)</f>
        <v>0</v>
      </c>
      <c r="G9" s="198">
        <f>-SUM(G4*M9)</f>
        <v>0</v>
      </c>
      <c r="H9" s="198">
        <f>-SUM(H4*M9)</f>
        <v>0</v>
      </c>
      <c r="I9" s="198">
        <f>-SUM(I4*M9)</f>
        <v>0</v>
      </c>
      <c r="J9" s="198">
        <f>-SUM(J4*M9)</f>
        <v>0</v>
      </c>
      <c r="K9" s="198">
        <f>-SUM(K4*M9)</f>
        <v>0</v>
      </c>
      <c r="L9" s="179">
        <f t="shared" si="0"/>
        <v>0</v>
      </c>
      <c r="M9" s="590">
        <f>SUM('Key Assumptions'!C107)</f>
        <v>0.3</v>
      </c>
      <c r="N9" s="739" t="s">
        <v>524</v>
      </c>
      <c r="O9" s="739"/>
      <c r="P9" s="739"/>
      <c r="Q9" s="739"/>
    </row>
    <row r="10" spans="1:17">
      <c r="B10" s="581"/>
      <c r="C10" s="581"/>
      <c r="D10" s="179"/>
      <c r="E10" s="179"/>
      <c r="F10" s="179"/>
      <c r="G10" s="179"/>
      <c r="H10" s="179"/>
      <c r="I10" s="179"/>
      <c r="J10" s="179"/>
      <c r="K10" s="179"/>
      <c r="L10" s="179">
        <f t="shared" si="0"/>
        <v>0</v>
      </c>
      <c r="M10" s="585"/>
      <c r="N10" s="739"/>
      <c r="O10" s="739"/>
      <c r="P10" s="739"/>
      <c r="Q10" s="739"/>
    </row>
    <row r="11" spans="1:17">
      <c r="B11" s="581"/>
      <c r="C11" s="581"/>
      <c r="D11" s="179"/>
      <c r="E11" s="179"/>
      <c r="F11" s="179"/>
      <c r="G11" s="179"/>
      <c r="H11" s="179"/>
      <c r="I11" s="179"/>
      <c r="J11" s="179"/>
      <c r="K11" s="179"/>
      <c r="L11" s="179">
        <f t="shared" si="0"/>
        <v>0</v>
      </c>
    </row>
    <row r="12" spans="1:17">
      <c r="B12" s="581"/>
      <c r="C12" s="581"/>
      <c r="D12" s="179"/>
      <c r="E12" s="179"/>
      <c r="F12" s="179"/>
      <c r="G12" s="179"/>
      <c r="H12" s="179"/>
      <c r="I12" s="179"/>
      <c r="J12" s="179"/>
      <c r="K12" s="179"/>
      <c r="L12" s="179">
        <f t="shared" si="0"/>
        <v>0</v>
      </c>
    </row>
    <row r="13" spans="1:17">
      <c r="A13" s="366" t="s">
        <v>419</v>
      </c>
      <c r="B13" s="581">
        <v>5607590</v>
      </c>
      <c r="C13" s="581">
        <v>16702272</v>
      </c>
      <c r="D13" s="179">
        <f>SUM(D3:D12)</f>
        <v>0</v>
      </c>
      <c r="E13" s="179">
        <f>SUM(E3:E12)</f>
        <v>0</v>
      </c>
      <c r="F13" s="179">
        <f t="shared" ref="F13:K13" si="1">SUM(F3:F12)</f>
        <v>0</v>
      </c>
      <c r="G13" s="179">
        <f t="shared" si="1"/>
        <v>0</v>
      </c>
      <c r="H13" s="179">
        <f t="shared" si="1"/>
        <v>0</v>
      </c>
      <c r="I13" s="179">
        <f t="shared" si="1"/>
        <v>0</v>
      </c>
      <c r="J13" s="179">
        <f t="shared" si="1"/>
        <v>0</v>
      </c>
      <c r="K13" s="179">
        <f t="shared" si="1"/>
        <v>0</v>
      </c>
      <c r="L13" s="179">
        <f t="shared" si="0"/>
        <v>22309862</v>
      </c>
    </row>
    <row r="14" spans="1:17">
      <c r="A14" s="163" t="s">
        <v>418</v>
      </c>
      <c r="B14" s="581"/>
      <c r="C14" s="581"/>
      <c r="D14" s="179"/>
      <c r="E14" s="179"/>
      <c r="F14" s="179"/>
      <c r="G14" s="179"/>
      <c r="H14" s="179"/>
      <c r="I14" s="179"/>
      <c r="J14" s="179"/>
      <c r="K14" s="179"/>
      <c r="L14" s="179">
        <f t="shared" si="0"/>
        <v>0</v>
      </c>
    </row>
    <row r="15" spans="1:17">
      <c r="A15" t="str">
        <f>+'FTTP Estimate'!A4:F4</f>
        <v>Network &amp; Access Equipment</v>
      </c>
      <c r="B15" s="581"/>
      <c r="C15" s="581"/>
      <c r="D15" s="179"/>
      <c r="E15" s="179"/>
      <c r="F15" s="179"/>
      <c r="G15" s="179"/>
      <c r="H15" s="179"/>
      <c r="I15" s="179"/>
      <c r="J15" s="179"/>
      <c r="K15" s="179"/>
      <c r="L15" s="179">
        <f t="shared" si="0"/>
        <v>0</v>
      </c>
    </row>
    <row r="16" spans="1:17">
      <c r="A16" s="172" t="str">
        <f>+'FTTP Estimate'!A5</f>
        <v>Switching</v>
      </c>
      <c r="B16" s="581">
        <v>173556</v>
      </c>
      <c r="C16" s="581">
        <v>0</v>
      </c>
      <c r="D16" s="179">
        <v>0</v>
      </c>
      <c r="E16" s="179">
        <v>0</v>
      </c>
      <c r="F16" s="179">
        <v>0</v>
      </c>
      <c r="G16" s="179">
        <v>0</v>
      </c>
      <c r="H16" s="179">
        <v>0</v>
      </c>
      <c r="I16" s="179">
        <v>0</v>
      </c>
      <c r="J16" s="179">
        <v>0</v>
      </c>
      <c r="K16" s="179">
        <v>0</v>
      </c>
      <c r="L16" s="179">
        <f t="shared" si="0"/>
        <v>173556</v>
      </c>
    </row>
    <row r="17" spans="1:18">
      <c r="A17" s="172" t="str">
        <f>+'FTTP Estimate'!A7</f>
        <v>Routing</v>
      </c>
      <c r="B17" s="581">
        <v>723300</v>
      </c>
      <c r="C17" s="581">
        <v>0</v>
      </c>
      <c r="D17" s="179">
        <v>0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79">
        <v>0</v>
      </c>
      <c r="L17" s="179">
        <f t="shared" si="0"/>
        <v>723300</v>
      </c>
    </row>
    <row r="18" spans="1:18">
      <c r="A18" s="172" t="str">
        <f>+'FTTP Estimate'!A9</f>
        <v>Transport</v>
      </c>
      <c r="B18" s="581">
        <v>73954.02</v>
      </c>
      <c r="C18" s="581">
        <v>0</v>
      </c>
      <c r="D18" s="179">
        <v>0</v>
      </c>
      <c r="E18" s="179">
        <v>0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79">
        <v>0</v>
      </c>
      <c r="L18" s="179">
        <f t="shared" si="0"/>
        <v>73954.02</v>
      </c>
    </row>
    <row r="19" spans="1:18" ht="30" customHeight="1">
      <c r="A19" s="172" t="str">
        <f>+'FTTP Estimate'!A12</f>
        <v>Access</v>
      </c>
      <c r="B19" s="581">
        <v>252095</v>
      </c>
      <c r="C19" s="581">
        <v>1478915</v>
      </c>
      <c r="D19" s="179">
        <f>+$O$19*Revenue!D128</f>
        <v>3216</v>
      </c>
      <c r="E19" s="179">
        <f>+$O$19*Revenue!E128</f>
        <v>3216</v>
      </c>
      <c r="F19" s="179">
        <f>+$O$19*Revenue!F128</f>
        <v>0</v>
      </c>
      <c r="G19" s="179">
        <f>+$O$19*Revenue!G128</f>
        <v>804</v>
      </c>
      <c r="H19" s="179">
        <f>+$O$19*Revenue!H128</f>
        <v>804</v>
      </c>
      <c r="I19" s="179">
        <f>+$O$19*Revenue!I128</f>
        <v>804</v>
      </c>
      <c r="J19" s="179">
        <f>+$O$19*Revenue!J128</f>
        <v>804</v>
      </c>
      <c r="K19" s="179">
        <f>+$O$19*Revenue!K128</f>
        <v>804</v>
      </c>
      <c r="L19" s="179">
        <f t="shared" si="0"/>
        <v>1741462</v>
      </c>
      <c r="M19" s="581">
        <v>635</v>
      </c>
      <c r="N19" s="480" t="str">
        <f>+'FTTP Estimate'!D13</f>
        <v>for each customer</v>
      </c>
      <c r="O19">
        <f>SUM('Key Assumptions'!C108)</f>
        <v>201</v>
      </c>
      <c r="P19" s="739" t="s">
        <v>523</v>
      </c>
      <c r="Q19" s="739"/>
      <c r="R19" s="739"/>
    </row>
    <row r="20" spans="1:18" ht="33.75" customHeight="1">
      <c r="A20" t="str">
        <f>+'FTTP Estimate'!A40:F40</f>
        <v>Billing Support and Operations Support Systems</v>
      </c>
      <c r="B20" s="581">
        <v>285000</v>
      </c>
      <c r="C20" s="581">
        <v>0</v>
      </c>
      <c r="D20" s="179">
        <v>0</v>
      </c>
      <c r="E20" s="179">
        <v>0</v>
      </c>
      <c r="F20" s="179">
        <v>0</v>
      </c>
      <c r="G20" s="179"/>
      <c r="H20" s="179"/>
      <c r="I20" s="179"/>
      <c r="J20" s="179"/>
      <c r="K20" s="179"/>
      <c r="L20" s="179">
        <f t="shared" si="0"/>
        <v>285000</v>
      </c>
      <c r="M20" s="179"/>
      <c r="N20" s="476"/>
      <c r="O20" s="476"/>
      <c r="P20" s="739"/>
      <c r="Q20" s="739"/>
      <c r="R20" s="739"/>
    </row>
    <row r="21" spans="1:18">
      <c r="A21" t="str">
        <f>+'FTTP Estimate'!A46:F46</f>
        <v>Testing</v>
      </c>
      <c r="B21" s="581">
        <v>166033.03999999998</v>
      </c>
      <c r="C21" s="581">
        <v>0</v>
      </c>
      <c r="D21" s="179">
        <v>0</v>
      </c>
      <c r="E21" s="179">
        <v>0</v>
      </c>
      <c r="F21" s="179">
        <v>0</v>
      </c>
      <c r="G21" s="179"/>
      <c r="H21" s="179"/>
      <c r="I21" s="179"/>
      <c r="J21" s="179"/>
      <c r="K21" s="179"/>
      <c r="L21" s="179">
        <f t="shared" si="0"/>
        <v>166033.03999999998</v>
      </c>
      <c r="N21" s="179"/>
    </row>
    <row r="22" spans="1:18">
      <c r="A22" t="str">
        <f>+'FTTP Estimate'!A52:F52</f>
        <v>Other Upfront Costs</v>
      </c>
      <c r="B22" s="581"/>
      <c r="C22" s="581"/>
      <c r="D22" s="179"/>
      <c r="E22" s="179"/>
      <c r="F22" s="179"/>
      <c r="G22" s="179"/>
      <c r="H22" s="179"/>
      <c r="I22" s="179"/>
      <c r="J22" s="179"/>
      <c r="K22" s="179"/>
      <c r="L22" s="179">
        <f t="shared" si="0"/>
        <v>0</v>
      </c>
      <c r="N22" s="179"/>
    </row>
    <row r="23" spans="1:18">
      <c r="A23" s="172" t="str">
        <f>+'FTTP Estimate'!B53</f>
        <v>Application Consulting services</v>
      </c>
      <c r="B23" s="581">
        <v>40000</v>
      </c>
      <c r="C23" s="581">
        <v>0</v>
      </c>
      <c r="D23" s="179">
        <v>0</v>
      </c>
      <c r="E23" s="179">
        <v>0</v>
      </c>
      <c r="F23" s="179">
        <v>0</v>
      </c>
      <c r="G23" s="179"/>
      <c r="H23" s="179"/>
      <c r="I23" s="179"/>
      <c r="J23" s="179"/>
      <c r="K23" s="179"/>
      <c r="L23" s="179">
        <f t="shared" si="0"/>
        <v>40000</v>
      </c>
      <c r="N23" s="179"/>
    </row>
    <row r="24" spans="1:18" ht="30" customHeight="1">
      <c r="A24" s="172" t="str">
        <f>+'FTTP Estimate'!B54</f>
        <v>Design Consulting services</v>
      </c>
      <c r="B24" s="581">
        <v>10000</v>
      </c>
      <c r="C24" s="581">
        <v>0</v>
      </c>
      <c r="D24" s="179">
        <f>ROUND(('Key Assumptions'!C16+'Key Assumptions'!C52)*'Capital Additions'!M24/2,2)</f>
        <v>0</v>
      </c>
      <c r="E24" s="179">
        <f>ROUND(('Key Assumptions'!C16+'Key Assumptions'!C52)*'Capital Additions'!M24/2,2)</f>
        <v>0</v>
      </c>
      <c r="F24" s="179">
        <v>0</v>
      </c>
      <c r="G24" s="179">
        <v>0</v>
      </c>
      <c r="H24" s="179">
        <v>0</v>
      </c>
      <c r="I24" s="179">
        <v>0</v>
      </c>
      <c r="J24" s="179">
        <v>0</v>
      </c>
      <c r="K24" s="179">
        <v>0</v>
      </c>
      <c r="L24" s="179">
        <f t="shared" si="0"/>
        <v>10000</v>
      </c>
      <c r="M24" s="198">
        <f>SUM('Key Assumptions'!C109)</f>
        <v>250</v>
      </c>
      <c r="N24" s="741" t="s">
        <v>504</v>
      </c>
      <c r="O24" s="741"/>
      <c r="P24" s="741"/>
    </row>
    <row r="25" spans="1:18">
      <c r="A25" s="172" t="str">
        <f>+'FTTP Estimate'!B55</f>
        <v>Backbone Engineering Services 
per conduit path mile</v>
      </c>
      <c r="B25" s="581">
        <v>204990</v>
      </c>
      <c r="C25" s="581">
        <v>0</v>
      </c>
      <c r="D25" s="179">
        <v>0</v>
      </c>
      <c r="E25" s="179">
        <v>0</v>
      </c>
      <c r="F25" s="179">
        <v>0</v>
      </c>
      <c r="G25" s="179"/>
      <c r="H25" s="179"/>
      <c r="I25" s="179"/>
      <c r="J25" s="179"/>
      <c r="K25" s="179"/>
      <c r="L25" s="179">
        <f t="shared" si="0"/>
        <v>204990</v>
      </c>
      <c r="N25" s="179"/>
    </row>
    <row r="26" spans="1:18">
      <c r="A26" s="172" t="str">
        <f>+'FTTP Estimate'!B56</f>
        <v>Permits</v>
      </c>
      <c r="B26" s="581">
        <v>33500</v>
      </c>
      <c r="C26" s="581">
        <v>0</v>
      </c>
      <c r="D26" s="179">
        <v>0</v>
      </c>
      <c r="E26" s="179">
        <v>0</v>
      </c>
      <c r="F26" s="179">
        <v>0</v>
      </c>
      <c r="G26" s="179">
        <v>0</v>
      </c>
      <c r="H26" s="179">
        <v>0</v>
      </c>
      <c r="I26" s="179">
        <v>0</v>
      </c>
      <c r="J26" s="179">
        <v>0</v>
      </c>
      <c r="K26" s="179">
        <v>0</v>
      </c>
      <c r="L26" s="179">
        <f t="shared" si="0"/>
        <v>33500</v>
      </c>
      <c r="N26" s="179"/>
    </row>
    <row r="27" spans="1:18">
      <c r="A27" t="s">
        <v>311</v>
      </c>
      <c r="B27" s="545"/>
      <c r="C27" s="581"/>
      <c r="D27" s="179"/>
      <c r="E27" s="179"/>
      <c r="F27" s="179"/>
      <c r="G27" s="179"/>
      <c r="H27" s="179"/>
      <c r="I27" s="179"/>
      <c r="J27" s="179"/>
      <c r="K27" s="179"/>
      <c r="L27" s="179">
        <f t="shared" si="0"/>
        <v>0</v>
      </c>
      <c r="N27" s="179"/>
    </row>
    <row r="28" spans="1:18">
      <c r="A28" s="367" t="str">
        <f>+'FTTP Estimate'!B34</f>
        <v>Wireless Router</v>
      </c>
      <c r="B28" s="581">
        <v>39500</v>
      </c>
      <c r="C28" s="581">
        <v>232700</v>
      </c>
      <c r="D28" s="179">
        <f>ROUND($M28*Revenue!D$138,0)</f>
        <v>0</v>
      </c>
      <c r="E28" s="179">
        <f>ROUND($M28*Revenue!E$138,0)</f>
        <v>0</v>
      </c>
      <c r="F28" s="179">
        <f>ROUND($M28*Revenue!F$138,0)</f>
        <v>0</v>
      </c>
      <c r="G28" s="179"/>
      <c r="H28" s="179"/>
      <c r="I28" s="179"/>
      <c r="J28" s="179"/>
      <c r="K28" s="179"/>
      <c r="L28" s="179">
        <f t="shared" si="0"/>
        <v>272200</v>
      </c>
      <c r="M28" s="198">
        <v>0</v>
      </c>
      <c r="N28" t="s">
        <v>420</v>
      </c>
      <c r="P28" s="166"/>
    </row>
    <row r="29" spans="1:18">
      <c r="A29" s="367" t="str">
        <f>+'FTTP Estimate'!B35</f>
        <v>In-Building Wiring</v>
      </c>
      <c r="B29" s="581">
        <v>99250</v>
      </c>
      <c r="C29" s="581">
        <v>582250</v>
      </c>
      <c r="D29" s="179">
        <f>ROUND($M29*Revenue!D$128,0)</f>
        <v>4000</v>
      </c>
      <c r="E29" s="179">
        <f>ROUND($M29*Revenue!E$128,0)</f>
        <v>4000</v>
      </c>
      <c r="F29" s="179">
        <f>ROUND($M29*Revenue!F$128,0)</f>
        <v>0</v>
      </c>
      <c r="G29" s="179">
        <f>ROUND($M29*Revenue!G$128,0)</f>
        <v>1000</v>
      </c>
      <c r="H29" s="179">
        <f>ROUND($M29*Revenue!H$128,0)</f>
        <v>1000</v>
      </c>
      <c r="I29" s="179">
        <f>ROUND($M29*Revenue!I$128,0)</f>
        <v>1000</v>
      </c>
      <c r="J29" s="179">
        <f>ROUND($M29*Revenue!J$128,0)</f>
        <v>1000</v>
      </c>
      <c r="K29" s="179">
        <f>ROUND($M29*Revenue!K$128,0)</f>
        <v>1000</v>
      </c>
      <c r="L29" s="179">
        <f t="shared" si="0"/>
        <v>694500</v>
      </c>
      <c r="M29" s="198">
        <f>SUM('Key Assumptions'!C110)</f>
        <v>250</v>
      </c>
      <c r="N29" t="s">
        <v>421</v>
      </c>
      <c r="P29" s="166"/>
    </row>
    <row r="30" spans="1:18">
      <c r="A30" s="367" t="str">
        <f>+'FTTP Estimate'!B36</f>
        <v>Engineered Fiber Drops</v>
      </c>
      <c r="B30" s="581">
        <v>297750</v>
      </c>
      <c r="C30" s="581">
        <v>1746750</v>
      </c>
      <c r="D30" s="179">
        <f>ROUND($M30*Revenue!D$128,0)</f>
        <v>12000</v>
      </c>
      <c r="E30" s="179">
        <f>ROUND($M30*Revenue!E$128,0)</f>
        <v>12000</v>
      </c>
      <c r="F30" s="179">
        <f>ROUND($M30*Revenue!F$128,0)</f>
        <v>0</v>
      </c>
      <c r="G30" s="179">
        <f>ROUND($M30*Revenue!G$128,0)</f>
        <v>3000</v>
      </c>
      <c r="H30" s="179">
        <f>ROUND($M30*Revenue!H$128,0)</f>
        <v>3000</v>
      </c>
      <c r="I30" s="179">
        <f>ROUND($M30*Revenue!I$128,0)</f>
        <v>3000</v>
      </c>
      <c r="J30" s="179">
        <f>ROUND($M30*Revenue!J$128,0)</f>
        <v>3000</v>
      </c>
      <c r="K30" s="179">
        <f>ROUND($M30*Revenue!K$128,0)</f>
        <v>3000</v>
      </c>
      <c r="L30" s="179">
        <f t="shared" si="0"/>
        <v>2083500</v>
      </c>
      <c r="M30" s="198">
        <f>SUM('Key Assumptions'!C111)</f>
        <v>750</v>
      </c>
      <c r="N30" t="s">
        <v>421</v>
      </c>
      <c r="P30" s="166"/>
    </row>
    <row r="31" spans="1:18">
      <c r="A31" s="367" t="s">
        <v>503</v>
      </c>
      <c r="B31" s="581">
        <v>93947</v>
      </c>
      <c r="C31" s="581">
        <v>553454</v>
      </c>
      <c r="D31" s="179">
        <f>ROUND($M31*Revenue!D$128,0)</f>
        <v>6224</v>
      </c>
      <c r="E31" s="179">
        <f>ROUND($M31*Revenue!E$128,0)</f>
        <v>6224</v>
      </c>
      <c r="F31" s="179">
        <f>ROUND($M31*Revenue!F$128,0)</f>
        <v>0</v>
      </c>
      <c r="G31" s="179">
        <f>ROUND($M31*Revenue!G$128,0)</f>
        <v>1556</v>
      </c>
      <c r="H31" s="179">
        <f>ROUND($M31*Revenue!H$128,0)</f>
        <v>1556</v>
      </c>
      <c r="I31" s="179">
        <f>ROUND($M31*Revenue!I$128,0)</f>
        <v>1556</v>
      </c>
      <c r="J31" s="179">
        <f>ROUND($M31*Revenue!J$128,0)</f>
        <v>1556</v>
      </c>
      <c r="K31" s="179">
        <f>ROUND($M31*Revenue!K$128,0)</f>
        <v>1556</v>
      </c>
      <c r="L31" s="179">
        <f t="shared" si="0"/>
        <v>667629</v>
      </c>
      <c r="M31" s="198">
        <f>SUM('Key Assumptions'!C112)</f>
        <v>389</v>
      </c>
      <c r="N31" t="s">
        <v>420</v>
      </c>
      <c r="P31" s="166"/>
    </row>
    <row r="32" spans="1:18">
      <c r="A32" s="367" t="s">
        <v>503</v>
      </c>
      <c r="B32" s="581">
        <v>476</v>
      </c>
      <c r="C32" s="581">
        <v>476</v>
      </c>
      <c r="D32" s="179">
        <f>ROUND($M32*Revenue!D$128,0)</f>
        <v>6224</v>
      </c>
      <c r="E32" s="179">
        <f>ROUND($M32*Revenue!E$128,0)</f>
        <v>6224</v>
      </c>
      <c r="F32" s="179">
        <f>ROUND($M32*Revenue!F$128,0)</f>
        <v>0</v>
      </c>
      <c r="G32" s="179">
        <f>ROUND($M32*Revenue!G$128,0)</f>
        <v>1556</v>
      </c>
      <c r="H32" s="179">
        <f>ROUND($M32*Revenue!H$128,0)</f>
        <v>1556</v>
      </c>
      <c r="I32" s="179">
        <f>ROUND($M32*Revenue!I$128,0)</f>
        <v>1556</v>
      </c>
      <c r="J32" s="179">
        <f>ROUND($M32*Revenue!J$128,0)</f>
        <v>1556</v>
      </c>
      <c r="K32" s="179">
        <f>ROUND($M32*Revenue!K$128,0)</f>
        <v>1556</v>
      </c>
      <c r="L32" s="179">
        <f t="shared" si="0"/>
        <v>21180</v>
      </c>
      <c r="M32" s="198">
        <f>SUM('Key Assumptions'!C113)</f>
        <v>389</v>
      </c>
      <c r="N32" t="s">
        <v>422</v>
      </c>
      <c r="P32" s="166"/>
    </row>
    <row r="33" spans="1:17">
      <c r="A33" s="367"/>
      <c r="B33" s="581"/>
      <c r="C33" s="581"/>
      <c r="D33" s="179"/>
      <c r="E33" s="179"/>
      <c r="F33" s="179"/>
      <c r="G33" s="179"/>
      <c r="H33" s="179"/>
      <c r="I33" s="179"/>
      <c r="J33" s="179"/>
      <c r="K33" s="179"/>
      <c r="L33" s="179">
        <f t="shared" si="0"/>
        <v>0</v>
      </c>
      <c r="N33" s="179"/>
      <c r="Q33" s="166"/>
    </row>
    <row r="34" spans="1:17" ht="15" customHeight="1">
      <c r="A34" t="s">
        <v>344</v>
      </c>
      <c r="B34" s="581"/>
      <c r="C34" s="581"/>
      <c r="D34" s="197">
        <f>-SUM(M9*D24)</f>
        <v>0</v>
      </c>
      <c r="E34" s="197">
        <f>-SUM(M9*E24)</f>
        <v>0</v>
      </c>
      <c r="F34" s="197">
        <f>-SUM(M9*F24)</f>
        <v>0</v>
      </c>
      <c r="G34" s="197">
        <f>-SUM(M9*G24)</f>
        <v>0</v>
      </c>
      <c r="H34" s="197">
        <f>-SUM(M9*H24)</f>
        <v>0</v>
      </c>
      <c r="I34" s="197">
        <f>-SUM(M9*I24)</f>
        <v>0</v>
      </c>
      <c r="J34" s="197">
        <f>-SUM(M9*J24)</f>
        <v>0</v>
      </c>
      <c r="K34" s="197">
        <f>-SUM(M9*K24)</f>
        <v>0</v>
      </c>
      <c r="L34" s="179">
        <f t="shared" si="0"/>
        <v>0</v>
      </c>
      <c r="M34" s="196"/>
      <c r="N34" s="739" t="s">
        <v>525</v>
      </c>
      <c r="O34" s="739"/>
      <c r="P34" s="739"/>
      <c r="Q34" s="739"/>
    </row>
    <row r="35" spans="1:17">
      <c r="B35" s="581"/>
      <c r="C35" s="581"/>
      <c r="D35" s="179"/>
      <c r="E35" s="179"/>
      <c r="F35" s="179"/>
      <c r="G35" s="179"/>
      <c r="H35" s="179"/>
      <c r="I35" s="179"/>
      <c r="J35" s="179"/>
      <c r="K35" s="179"/>
      <c r="L35" s="179">
        <f t="shared" si="0"/>
        <v>0</v>
      </c>
      <c r="M35" s="586"/>
      <c r="N35" s="739"/>
      <c r="O35" s="739"/>
      <c r="P35" s="739"/>
      <c r="Q35" s="739"/>
    </row>
    <row r="36" spans="1:17">
      <c r="A36" s="366" t="s">
        <v>626</v>
      </c>
      <c r="B36" s="581">
        <v>2493351.06</v>
      </c>
      <c r="C36" s="581">
        <v>4594545</v>
      </c>
      <c r="D36" s="179">
        <f t="shared" ref="D36:K36" si="2">SUM(D16:D35)</f>
        <v>31664</v>
      </c>
      <c r="E36" s="179">
        <f t="shared" si="2"/>
        <v>31664</v>
      </c>
      <c r="F36" s="179">
        <f t="shared" si="2"/>
        <v>0</v>
      </c>
      <c r="G36" s="179">
        <f t="shared" si="2"/>
        <v>7916</v>
      </c>
      <c r="H36" s="179">
        <f t="shared" si="2"/>
        <v>7916</v>
      </c>
      <c r="I36" s="179">
        <f t="shared" si="2"/>
        <v>7916</v>
      </c>
      <c r="J36" s="179">
        <f t="shared" si="2"/>
        <v>7916</v>
      </c>
      <c r="K36" s="179">
        <f t="shared" si="2"/>
        <v>7916</v>
      </c>
      <c r="L36" s="179">
        <f t="shared" si="0"/>
        <v>7190804.0600000005</v>
      </c>
    </row>
    <row r="37" spans="1:17">
      <c r="A37" s="366" t="s">
        <v>627</v>
      </c>
      <c r="B37" s="581">
        <v>8100941.0600000005</v>
      </c>
      <c r="C37" s="581">
        <v>21296817</v>
      </c>
      <c r="D37" s="179">
        <f t="shared" ref="D37:K37" si="3">+D36+D13</f>
        <v>31664</v>
      </c>
      <c r="E37" s="179">
        <f t="shared" si="3"/>
        <v>31664</v>
      </c>
      <c r="F37" s="179">
        <f t="shared" si="3"/>
        <v>0</v>
      </c>
      <c r="G37" s="179">
        <f t="shared" si="3"/>
        <v>7916</v>
      </c>
      <c r="H37" s="179">
        <f t="shared" si="3"/>
        <v>7916</v>
      </c>
      <c r="I37" s="179">
        <f t="shared" si="3"/>
        <v>7916</v>
      </c>
      <c r="J37" s="179">
        <f t="shared" si="3"/>
        <v>7916</v>
      </c>
      <c r="K37" s="179">
        <f t="shared" si="3"/>
        <v>7916</v>
      </c>
      <c r="L37" s="179">
        <f t="shared" si="0"/>
        <v>29500666.060000002</v>
      </c>
    </row>
    <row r="38" spans="1:17">
      <c r="B38" s="545"/>
      <c r="C38" s="545"/>
      <c r="L38" s="179">
        <f t="shared" si="0"/>
        <v>0</v>
      </c>
    </row>
    <row r="39" spans="1:17">
      <c r="B39" s="545"/>
      <c r="C39" s="545"/>
      <c r="L39" s="179">
        <f t="shared" si="0"/>
        <v>0</v>
      </c>
    </row>
    <row r="40" spans="1:17">
      <c r="A40" s="366" t="s">
        <v>625</v>
      </c>
      <c r="B40" s="581">
        <v>530923</v>
      </c>
      <c r="C40" s="581">
        <v>3115630</v>
      </c>
      <c r="D40" s="179">
        <f t="shared" ref="D40:K40" si="4">SUM(D28:D32)</f>
        <v>28448</v>
      </c>
      <c r="E40" s="179">
        <f t="shared" si="4"/>
        <v>28448</v>
      </c>
      <c r="F40" s="179">
        <f t="shared" si="4"/>
        <v>0</v>
      </c>
      <c r="G40" s="179">
        <f t="shared" si="4"/>
        <v>7112</v>
      </c>
      <c r="H40" s="179">
        <f t="shared" si="4"/>
        <v>7112</v>
      </c>
      <c r="I40" s="179">
        <f t="shared" si="4"/>
        <v>7112</v>
      </c>
      <c r="J40" s="179">
        <f t="shared" si="4"/>
        <v>7112</v>
      </c>
      <c r="K40" s="179">
        <f t="shared" si="4"/>
        <v>7112</v>
      </c>
      <c r="L40" s="179">
        <f t="shared" si="0"/>
        <v>3739009</v>
      </c>
    </row>
    <row r="41" spans="1:17">
      <c r="A41" s="366" t="s">
        <v>628</v>
      </c>
      <c r="B41" s="581">
        <v>530923</v>
      </c>
      <c r="C41" s="581">
        <v>3646553</v>
      </c>
      <c r="D41" s="179">
        <f t="shared" ref="D41:F41" si="5">+C41+D40</f>
        <v>3675001</v>
      </c>
      <c r="E41" s="179">
        <f t="shared" si="5"/>
        <v>3703449</v>
      </c>
      <c r="F41" s="179">
        <f t="shared" si="5"/>
        <v>3703449</v>
      </c>
      <c r="G41" s="179">
        <f t="shared" ref="G41" si="6">+F41+G40</f>
        <v>3710561</v>
      </c>
      <c r="H41" s="179">
        <f t="shared" ref="H41" si="7">+G41+H40</f>
        <v>3717673</v>
      </c>
      <c r="I41" s="179">
        <f t="shared" ref="I41" si="8">+H41+I40</f>
        <v>3724785</v>
      </c>
      <c r="J41" s="179">
        <f t="shared" ref="J41" si="9">+I41+J40</f>
        <v>3731897</v>
      </c>
      <c r="K41" s="179">
        <f t="shared" ref="K41" si="10">+J41+K40</f>
        <v>3739009</v>
      </c>
      <c r="L41" s="179">
        <f t="shared" si="0"/>
        <v>33883300</v>
      </c>
    </row>
    <row r="42" spans="1:17">
      <c r="B42" s="545"/>
      <c r="C42" s="545"/>
      <c r="L42" s="179">
        <f t="shared" si="0"/>
        <v>0</v>
      </c>
    </row>
    <row r="43" spans="1:17">
      <c r="B43" s="545"/>
      <c r="C43" s="545"/>
      <c r="D43" s="179">
        <f>+'FTTP Estimate'!G38</f>
        <v>3612168</v>
      </c>
      <c r="L43" s="179">
        <f t="shared" si="0"/>
        <v>3612168</v>
      </c>
    </row>
    <row r="44" spans="1:17">
      <c r="B44" s="545"/>
      <c r="C44" s="545"/>
      <c r="L44" s="179">
        <f t="shared" si="0"/>
        <v>0</v>
      </c>
    </row>
    <row r="45" spans="1:17">
      <c r="B45" s="581">
        <v>7819785.0600000005</v>
      </c>
      <c r="C45" s="581">
        <v>20573845</v>
      </c>
      <c r="J45" s="179">
        <f>SUM(B45:C45)</f>
        <v>28393630.060000002</v>
      </c>
      <c r="K45" s="179"/>
      <c r="L45" s="179">
        <f t="shared" si="0"/>
        <v>56787260.120000005</v>
      </c>
    </row>
    <row r="46" spans="1:17">
      <c r="B46" s="581">
        <v>281156</v>
      </c>
      <c r="C46" s="581">
        <v>722972</v>
      </c>
      <c r="D46" s="179">
        <f t="shared" ref="D46:F46" si="11">+D7</f>
        <v>0</v>
      </c>
      <c r="E46" s="179">
        <f t="shared" si="11"/>
        <v>0</v>
      </c>
      <c r="F46" s="179">
        <f t="shared" si="11"/>
        <v>0</v>
      </c>
      <c r="G46" s="179"/>
      <c r="H46" s="179"/>
      <c r="I46" s="179"/>
      <c r="J46" s="179">
        <f>SUM(B46:F46)</f>
        <v>1004128</v>
      </c>
      <c r="K46" s="179"/>
      <c r="L46" s="179">
        <f t="shared" si="0"/>
        <v>2008256</v>
      </c>
    </row>
    <row r="47" spans="1:17">
      <c r="B47" s="581">
        <v>8100941.0600000005</v>
      </c>
      <c r="C47" s="581">
        <v>21296817</v>
      </c>
      <c r="D47" s="179">
        <f t="shared" ref="D47:F47" si="12">SUM(D45:D46)</f>
        <v>0</v>
      </c>
      <c r="E47" s="179">
        <f t="shared" si="12"/>
        <v>0</v>
      </c>
      <c r="F47" s="179">
        <f t="shared" si="12"/>
        <v>0</v>
      </c>
      <c r="G47" s="179"/>
      <c r="H47" s="179"/>
      <c r="I47" s="179"/>
      <c r="J47" s="179">
        <f>SUM(B47:C47)</f>
        <v>29397758.060000002</v>
      </c>
      <c r="K47" s="179"/>
      <c r="L47" s="179">
        <f t="shared" si="0"/>
        <v>58795516.120000005</v>
      </c>
    </row>
    <row r="48" spans="1:17">
      <c r="B48" s="545"/>
      <c r="C48" s="545"/>
    </row>
    <row r="49" spans="2:3">
      <c r="B49" s="740" t="s">
        <v>646</v>
      </c>
      <c r="C49" s="740"/>
    </row>
    <row r="50" spans="2:3">
      <c r="B50" s="740"/>
      <c r="C50" s="740"/>
    </row>
  </sheetData>
  <mergeCells count="7">
    <mergeCell ref="N34:Q35"/>
    <mergeCell ref="B49:C50"/>
    <mergeCell ref="B1:F1"/>
    <mergeCell ref="N4:Q4"/>
    <mergeCell ref="N24:P24"/>
    <mergeCell ref="P19:R20"/>
    <mergeCell ref="N9:Q10"/>
  </mergeCells>
  <phoneticPr fontId="38" type="noConversion"/>
  <pageMargins left="0.7" right="0.7" top="0.75" bottom="0.75" header="0.3" footer="0.3"/>
  <ignoredErrors>
    <ignoredError sqref="D34:E37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>
  <dimension ref="A1:L41"/>
  <sheetViews>
    <sheetView topLeftCell="A16" workbookViewId="0">
      <selection activeCell="R33" sqref="R33"/>
    </sheetView>
  </sheetViews>
  <sheetFormatPr defaultColWidth="3.7109375" defaultRowHeight="15"/>
  <cols>
    <col min="1" max="1" width="3.85546875" customWidth="1"/>
    <col min="2" max="2" width="28.140625" customWidth="1"/>
    <col min="3" max="3" width="15.7109375" customWidth="1"/>
    <col min="4" max="4" width="15.140625" customWidth="1"/>
    <col min="5" max="11" width="12.7109375" customWidth="1"/>
  </cols>
  <sheetData>
    <row r="1" spans="1:6">
      <c r="A1" s="165" t="s">
        <v>191</v>
      </c>
      <c r="B1" s="165"/>
      <c r="C1" s="163" t="s">
        <v>79</v>
      </c>
    </row>
    <row r="3" spans="1:6">
      <c r="A3" t="s">
        <v>177</v>
      </c>
      <c r="C3" s="166">
        <f>+'Sources and Uses'!C26</f>
        <v>0</v>
      </c>
    </row>
    <row r="4" spans="1:6">
      <c r="A4" t="s">
        <v>424</v>
      </c>
      <c r="C4" s="166">
        <f>+'Sources and Uses'!C13</f>
        <v>3</v>
      </c>
    </row>
    <row r="5" spans="1:6">
      <c r="A5" t="s">
        <v>178</v>
      </c>
      <c r="C5" s="167">
        <f>+'Sources and Uses'!C12</f>
        <v>10</v>
      </c>
    </row>
    <row r="6" spans="1:6">
      <c r="A6" t="s">
        <v>179</v>
      </c>
      <c r="C6" s="168">
        <f>+'Sources and Uses'!C11</f>
        <v>0.06</v>
      </c>
    </row>
    <row r="8" spans="1:6">
      <c r="C8" s="169" t="s">
        <v>180</v>
      </c>
      <c r="D8" s="169" t="s">
        <v>181</v>
      </c>
      <c r="E8" s="169" t="s">
        <v>182</v>
      </c>
      <c r="F8" t="s">
        <v>183</v>
      </c>
    </row>
    <row r="9" spans="1:6">
      <c r="D9" s="170"/>
      <c r="E9" s="170"/>
      <c r="F9" s="171">
        <f>ROUND(PMT($C$6,$C$5-C4+1,-$C$3),-1)</f>
        <v>0</v>
      </c>
    </row>
    <row r="10" spans="1:6">
      <c r="B10" t="s">
        <v>54</v>
      </c>
    </row>
    <row r="11" spans="1:6">
      <c r="A11" s="172"/>
      <c r="B11" s="173">
        <v>1</v>
      </c>
      <c r="C11" s="174">
        <f>C3</f>
        <v>0</v>
      </c>
      <c r="D11" s="175">
        <f t="shared" ref="D11:D20" si="0">ROUND(IF(B11&gt;$C$5,C11,IF(B11&lt;$C$4,0,$F$9-E11)),-1)</f>
        <v>0</v>
      </c>
      <c r="E11" s="175">
        <f>ROUND(IF(B11&gt;$C$5,0,IF(B11&gt;$C$4,IPMT($C$6,B11-$C$4+1,$C$5-$C$4+1,-$C$3),IPMT($C$6,1,$C$5,-$C$3))),-1)</f>
        <v>0</v>
      </c>
    </row>
    <row r="12" spans="1:6">
      <c r="A12" s="172"/>
      <c r="B12" s="173">
        <f>1+B11</f>
        <v>2</v>
      </c>
      <c r="C12" s="174">
        <f>ROUNDUP(C11-D11,-1)</f>
        <v>0</v>
      </c>
      <c r="D12" s="175">
        <f t="shared" si="0"/>
        <v>0</v>
      </c>
      <c r="E12" s="175">
        <f t="shared" ref="E12:E30" si="1">ROUND(IF(B12&gt;$C$5,0,IF(B12&gt;$C$4,IPMT($C$6,B12-$C$4+1,$C$5-$C$4+1,-$C$3),IPMT($C$6,1,$C$5,-$C$3))),-1)</f>
        <v>0</v>
      </c>
    </row>
    <row r="13" spans="1:6">
      <c r="A13" s="172"/>
      <c r="B13" s="173">
        <f t="shared" ref="B13:B30" si="2">1+B12</f>
        <v>3</v>
      </c>
      <c r="C13" s="174">
        <f t="shared" ref="C13:C30" si="3">ROUNDUP(C12-D12,-1)</f>
        <v>0</v>
      </c>
      <c r="D13" s="175">
        <f t="shared" si="0"/>
        <v>0</v>
      </c>
      <c r="E13" s="175">
        <f t="shared" si="1"/>
        <v>0</v>
      </c>
      <c r="F13" s="176"/>
    </row>
    <row r="14" spans="1:6">
      <c r="A14" s="172"/>
      <c r="B14" s="173">
        <f t="shared" si="2"/>
        <v>4</v>
      </c>
      <c r="C14" s="174">
        <f t="shared" si="3"/>
        <v>0</v>
      </c>
      <c r="D14" s="175">
        <f t="shared" si="0"/>
        <v>0</v>
      </c>
      <c r="E14" s="175">
        <f t="shared" si="1"/>
        <v>0</v>
      </c>
      <c r="F14" s="176"/>
    </row>
    <row r="15" spans="1:6">
      <c r="A15" s="172"/>
      <c r="B15" s="173">
        <f t="shared" si="2"/>
        <v>5</v>
      </c>
      <c r="C15" s="174">
        <f t="shared" si="3"/>
        <v>0</v>
      </c>
      <c r="D15" s="175">
        <f t="shared" si="0"/>
        <v>0</v>
      </c>
      <c r="E15" s="175">
        <f t="shared" si="1"/>
        <v>0</v>
      </c>
      <c r="F15" s="176"/>
    </row>
    <row r="16" spans="1:6">
      <c r="A16" s="172"/>
      <c r="B16" s="173">
        <f t="shared" si="2"/>
        <v>6</v>
      </c>
      <c r="C16" s="174">
        <f t="shared" si="3"/>
        <v>0</v>
      </c>
      <c r="D16" s="175">
        <f t="shared" si="0"/>
        <v>0</v>
      </c>
      <c r="E16" s="175">
        <f t="shared" si="1"/>
        <v>0</v>
      </c>
      <c r="F16" s="176"/>
    </row>
    <row r="17" spans="1:6">
      <c r="A17" s="172"/>
      <c r="B17" s="173">
        <f t="shared" si="2"/>
        <v>7</v>
      </c>
      <c r="C17" s="174">
        <f t="shared" si="3"/>
        <v>0</v>
      </c>
      <c r="D17" s="175">
        <f t="shared" si="0"/>
        <v>0</v>
      </c>
      <c r="E17" s="175">
        <f t="shared" si="1"/>
        <v>0</v>
      </c>
      <c r="F17" s="176"/>
    </row>
    <row r="18" spans="1:6">
      <c r="A18" s="172"/>
      <c r="B18" s="173">
        <f t="shared" si="2"/>
        <v>8</v>
      </c>
      <c r="C18" s="174">
        <f t="shared" si="3"/>
        <v>0</v>
      </c>
      <c r="D18" s="175">
        <f t="shared" si="0"/>
        <v>0</v>
      </c>
      <c r="E18" s="175">
        <f t="shared" si="1"/>
        <v>0</v>
      </c>
      <c r="F18" s="176"/>
    </row>
    <row r="19" spans="1:6">
      <c r="A19" s="172"/>
      <c r="B19" s="173">
        <f t="shared" si="2"/>
        <v>9</v>
      </c>
      <c r="C19" s="174">
        <f t="shared" si="3"/>
        <v>0</v>
      </c>
      <c r="D19" s="175">
        <f t="shared" si="0"/>
        <v>0</v>
      </c>
      <c r="E19" s="175">
        <f t="shared" si="1"/>
        <v>0</v>
      </c>
      <c r="F19" s="176"/>
    </row>
    <row r="20" spans="1:6">
      <c r="A20" s="172"/>
      <c r="B20" s="173">
        <f t="shared" si="2"/>
        <v>10</v>
      </c>
      <c r="C20" s="174">
        <f t="shared" si="3"/>
        <v>0</v>
      </c>
      <c r="D20" s="175">
        <f t="shared" si="0"/>
        <v>0</v>
      </c>
      <c r="E20" s="175">
        <f t="shared" si="1"/>
        <v>0</v>
      </c>
      <c r="F20" s="176"/>
    </row>
    <row r="21" spans="1:6">
      <c r="A21" s="172"/>
      <c r="B21" s="173">
        <f t="shared" si="2"/>
        <v>11</v>
      </c>
      <c r="C21" s="174">
        <f t="shared" si="3"/>
        <v>0</v>
      </c>
      <c r="D21" s="175">
        <f>ROUND(IF(B21&gt;$C$5,C21,IF(B21&lt;$C$4,0,$F$9-E21)),-1)</f>
        <v>0</v>
      </c>
      <c r="E21" s="175">
        <f t="shared" si="1"/>
        <v>0</v>
      </c>
      <c r="F21" s="176"/>
    </row>
    <row r="22" spans="1:6">
      <c r="A22" s="172"/>
      <c r="B22" s="173">
        <f t="shared" si="2"/>
        <v>12</v>
      </c>
      <c r="C22" s="174">
        <f t="shared" si="3"/>
        <v>0</v>
      </c>
      <c r="D22" s="175">
        <f t="shared" ref="D22:D30" si="4">ROUND(IF(B22&gt;$C$5,C22,IF(B22&lt;$C$4,0,$F$9-E22)),-1)</f>
        <v>0</v>
      </c>
      <c r="E22" s="175">
        <f t="shared" si="1"/>
        <v>0</v>
      </c>
      <c r="F22" s="176"/>
    </row>
    <row r="23" spans="1:6">
      <c r="A23" s="172"/>
      <c r="B23" s="173">
        <f t="shared" si="2"/>
        <v>13</v>
      </c>
      <c r="C23" s="174">
        <f t="shared" si="3"/>
        <v>0</v>
      </c>
      <c r="D23" s="175">
        <f t="shared" si="4"/>
        <v>0</v>
      </c>
      <c r="E23" s="175">
        <f t="shared" si="1"/>
        <v>0</v>
      </c>
      <c r="F23" s="176"/>
    </row>
    <row r="24" spans="1:6">
      <c r="A24" s="172"/>
      <c r="B24" s="173">
        <f t="shared" si="2"/>
        <v>14</v>
      </c>
      <c r="C24" s="174">
        <f t="shared" si="3"/>
        <v>0</v>
      </c>
      <c r="D24" s="175">
        <f t="shared" si="4"/>
        <v>0</v>
      </c>
      <c r="E24" s="175">
        <f t="shared" si="1"/>
        <v>0</v>
      </c>
      <c r="F24" s="176"/>
    </row>
    <row r="25" spans="1:6">
      <c r="A25" s="172"/>
      <c r="B25" s="173">
        <f t="shared" si="2"/>
        <v>15</v>
      </c>
      <c r="C25" s="174">
        <f t="shared" si="3"/>
        <v>0</v>
      </c>
      <c r="D25" s="175">
        <f t="shared" si="4"/>
        <v>0</v>
      </c>
      <c r="E25" s="175">
        <f t="shared" si="1"/>
        <v>0</v>
      </c>
      <c r="F25" s="176"/>
    </row>
    <row r="26" spans="1:6">
      <c r="A26" s="172"/>
      <c r="B26" s="173">
        <f t="shared" si="2"/>
        <v>16</v>
      </c>
      <c r="C26" s="174">
        <f t="shared" si="3"/>
        <v>0</v>
      </c>
      <c r="D26" s="175">
        <f t="shared" si="4"/>
        <v>0</v>
      </c>
      <c r="E26" s="175">
        <f t="shared" si="1"/>
        <v>0</v>
      </c>
      <c r="F26" s="176"/>
    </row>
    <row r="27" spans="1:6">
      <c r="A27" s="172"/>
      <c r="B27" s="173">
        <f t="shared" si="2"/>
        <v>17</v>
      </c>
      <c r="C27" s="174">
        <f t="shared" si="3"/>
        <v>0</v>
      </c>
      <c r="D27" s="175">
        <f t="shared" si="4"/>
        <v>0</v>
      </c>
      <c r="E27" s="175">
        <f t="shared" si="1"/>
        <v>0</v>
      </c>
      <c r="F27" s="176"/>
    </row>
    <row r="28" spans="1:6">
      <c r="A28" s="172"/>
      <c r="B28" s="173">
        <f t="shared" si="2"/>
        <v>18</v>
      </c>
      <c r="C28" s="174">
        <f t="shared" si="3"/>
        <v>0</v>
      </c>
      <c r="D28" s="175">
        <f t="shared" si="4"/>
        <v>0</v>
      </c>
      <c r="E28" s="175">
        <f t="shared" si="1"/>
        <v>0</v>
      </c>
      <c r="F28" s="176"/>
    </row>
    <row r="29" spans="1:6">
      <c r="A29" s="172"/>
      <c r="B29" s="173">
        <f t="shared" si="2"/>
        <v>19</v>
      </c>
      <c r="C29" s="174">
        <f t="shared" si="3"/>
        <v>0</v>
      </c>
      <c r="D29" s="175">
        <f t="shared" si="4"/>
        <v>0</v>
      </c>
      <c r="E29" s="175">
        <f t="shared" si="1"/>
        <v>0</v>
      </c>
      <c r="F29" s="176"/>
    </row>
    <row r="30" spans="1:6">
      <c r="A30" s="172"/>
      <c r="B30" s="173">
        <f t="shared" si="2"/>
        <v>20</v>
      </c>
      <c r="C30" s="174">
        <f t="shared" si="3"/>
        <v>0</v>
      </c>
      <c r="D30" s="175">
        <f t="shared" si="4"/>
        <v>0</v>
      </c>
      <c r="E30" s="175">
        <f t="shared" si="1"/>
        <v>0</v>
      </c>
      <c r="F30" s="176"/>
    </row>
    <row r="31" spans="1:6">
      <c r="B31" s="173"/>
      <c r="C31" s="177"/>
      <c r="D31" s="175">
        <f>SUM(D11:D30)</f>
        <v>0</v>
      </c>
      <c r="E31" s="175">
        <f>SUM(E11:E30)</f>
        <v>0</v>
      </c>
    </row>
    <row r="32" spans="1:6">
      <c r="B32" s="173"/>
      <c r="C32" s="177"/>
      <c r="D32" s="171"/>
      <c r="E32" s="171"/>
    </row>
    <row r="33" spans="1:12">
      <c r="B33" s="722" t="s">
        <v>192</v>
      </c>
      <c r="C33" s="722"/>
      <c r="D33" s="722"/>
      <c r="E33" s="722"/>
      <c r="F33" s="722"/>
      <c r="G33" s="722"/>
      <c r="H33" s="722"/>
      <c r="I33" s="722"/>
      <c r="J33" s="722"/>
      <c r="K33" s="722"/>
    </row>
    <row r="34" spans="1:12">
      <c r="B34">
        <v>1</v>
      </c>
      <c r="C34">
        <f>+B34+1</f>
        <v>2</v>
      </c>
      <c r="D34">
        <f t="shared" ref="D34:K34" si="5">+C34+1</f>
        <v>3</v>
      </c>
      <c r="E34">
        <f t="shared" si="5"/>
        <v>4</v>
      </c>
      <c r="F34">
        <f t="shared" si="5"/>
        <v>5</v>
      </c>
      <c r="G34">
        <f t="shared" si="5"/>
        <v>6</v>
      </c>
      <c r="H34">
        <f t="shared" si="5"/>
        <v>7</v>
      </c>
      <c r="I34">
        <f t="shared" si="5"/>
        <v>8</v>
      </c>
      <c r="J34">
        <f t="shared" si="5"/>
        <v>9</v>
      </c>
      <c r="K34">
        <f t="shared" si="5"/>
        <v>10</v>
      </c>
    </row>
    <row r="35" spans="1:12">
      <c r="A35" t="s">
        <v>184</v>
      </c>
      <c r="B35" s="179">
        <v>0</v>
      </c>
      <c r="C35" s="179">
        <f>-$D11</f>
        <v>0</v>
      </c>
      <c r="D35" s="179">
        <f>-$D12</f>
        <v>0</v>
      </c>
      <c r="E35" s="179">
        <f>-$D13</f>
        <v>0</v>
      </c>
      <c r="F35" s="179">
        <f>-$D14</f>
        <v>0</v>
      </c>
      <c r="G35" s="179">
        <f>-$D15</f>
        <v>0</v>
      </c>
      <c r="H35" s="179">
        <f>-$D16</f>
        <v>0</v>
      </c>
      <c r="I35" s="179">
        <f>-$D17</f>
        <v>0</v>
      </c>
      <c r="J35" s="179">
        <f>-$D18</f>
        <v>0</v>
      </c>
      <c r="K35" s="179">
        <f>-$D19</f>
        <v>0</v>
      </c>
    </row>
    <row r="36" spans="1:12" ht="16.5">
      <c r="A36" t="s">
        <v>185</v>
      </c>
      <c r="B36" s="180">
        <v>0</v>
      </c>
      <c r="C36" s="180">
        <f>-$E11</f>
        <v>0</v>
      </c>
      <c r="D36" s="180">
        <f>-$E12</f>
        <v>0</v>
      </c>
      <c r="E36" s="180">
        <f>-$E13</f>
        <v>0</v>
      </c>
      <c r="F36" s="180">
        <f>-$E14</f>
        <v>0</v>
      </c>
      <c r="G36" s="180">
        <f>-$E15</f>
        <v>0</v>
      </c>
      <c r="H36" s="180">
        <f>-$E16</f>
        <v>0</v>
      </c>
      <c r="I36" s="180">
        <f>-$E17</f>
        <v>0</v>
      </c>
      <c r="J36" s="180">
        <f>-$E18</f>
        <v>0</v>
      </c>
      <c r="K36" s="180">
        <f>-$E19</f>
        <v>0</v>
      </c>
      <c r="L36" s="178"/>
    </row>
    <row r="37" spans="1:12">
      <c r="B37" s="179">
        <f>+K34+1</f>
        <v>11</v>
      </c>
      <c r="C37" s="179">
        <f t="shared" ref="C37:K37" si="6">+B37+1</f>
        <v>12</v>
      </c>
      <c r="D37" s="179">
        <f t="shared" si="6"/>
        <v>13</v>
      </c>
      <c r="E37" s="179">
        <f t="shared" si="6"/>
        <v>14</v>
      </c>
      <c r="F37" s="179">
        <f t="shared" si="6"/>
        <v>15</v>
      </c>
      <c r="G37" s="179">
        <f t="shared" si="6"/>
        <v>16</v>
      </c>
      <c r="H37" s="179">
        <f t="shared" si="6"/>
        <v>17</v>
      </c>
      <c r="I37" s="179">
        <f t="shared" si="6"/>
        <v>18</v>
      </c>
      <c r="J37" s="179">
        <f t="shared" si="6"/>
        <v>19</v>
      </c>
      <c r="K37" s="179">
        <f t="shared" si="6"/>
        <v>20</v>
      </c>
    </row>
    <row r="38" spans="1:12">
      <c r="A38" t="s">
        <v>184</v>
      </c>
      <c r="B38" s="179">
        <f>-$D20</f>
        <v>0</v>
      </c>
      <c r="C38" s="179">
        <f>-$D21</f>
        <v>0</v>
      </c>
      <c r="D38" s="179">
        <f>-$D22</f>
        <v>0</v>
      </c>
      <c r="E38" s="179">
        <f>-$D23</f>
        <v>0</v>
      </c>
      <c r="F38" s="179">
        <f>-$D24</f>
        <v>0</v>
      </c>
      <c r="G38" s="179">
        <f>-$D25</f>
        <v>0</v>
      </c>
      <c r="H38" s="179">
        <f>-$D26</f>
        <v>0</v>
      </c>
      <c r="I38" s="179">
        <f>-$D27</f>
        <v>0</v>
      </c>
      <c r="J38" s="179">
        <f>-$D28</f>
        <v>0</v>
      </c>
      <c r="K38" s="174">
        <f>-D29</f>
        <v>0</v>
      </c>
    </row>
    <row r="39" spans="1:12" ht="17.25">
      <c r="A39" t="s">
        <v>185</v>
      </c>
      <c r="B39" s="180">
        <f>-$E20</f>
        <v>0</v>
      </c>
      <c r="C39" s="180">
        <f>-$E21</f>
        <v>0</v>
      </c>
      <c r="D39" s="180">
        <f>-$E22</f>
        <v>0</v>
      </c>
      <c r="E39" s="180">
        <f>-$E23</f>
        <v>0</v>
      </c>
      <c r="F39" s="180">
        <f>-$E24</f>
        <v>0</v>
      </c>
      <c r="G39" s="180">
        <f>-$E25</f>
        <v>0</v>
      </c>
      <c r="H39" s="180">
        <f>-$E26</f>
        <v>0</v>
      </c>
      <c r="I39" s="180">
        <f>-$E27</f>
        <v>0</v>
      </c>
      <c r="J39" s="180">
        <f>-$E28</f>
        <v>0</v>
      </c>
      <c r="K39" s="377">
        <f>-E29</f>
        <v>0</v>
      </c>
    </row>
    <row r="41" spans="1:12">
      <c r="A41" t="s">
        <v>423</v>
      </c>
      <c r="B41" s="166">
        <v>0</v>
      </c>
      <c r="C41" s="166">
        <f>+C11</f>
        <v>0</v>
      </c>
      <c r="D41" s="166">
        <f>+C12</f>
        <v>0</v>
      </c>
      <c r="E41" s="166">
        <f>+C13</f>
        <v>0</v>
      </c>
      <c r="F41" s="166">
        <f>+C14</f>
        <v>0</v>
      </c>
      <c r="G41" s="166">
        <f>+C14</f>
        <v>0</v>
      </c>
      <c r="H41" s="166">
        <f>+C15</f>
        <v>0</v>
      </c>
      <c r="I41" s="166">
        <f>+C16</f>
        <v>0</v>
      </c>
      <c r="J41" s="166">
        <f>+C17</f>
        <v>0</v>
      </c>
      <c r="K41" s="166">
        <f>+C18</f>
        <v>0</v>
      </c>
    </row>
  </sheetData>
  <mergeCells count="1">
    <mergeCell ref="B33:K33"/>
  </mergeCells>
  <phoneticPr fontId="3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>
  <dimension ref="A1:L41"/>
  <sheetViews>
    <sheetView workbookViewId="0">
      <selection activeCell="C3" sqref="C3"/>
    </sheetView>
  </sheetViews>
  <sheetFormatPr defaultColWidth="14.28515625" defaultRowHeight="15"/>
  <sheetData>
    <row r="1" spans="1:6">
      <c r="A1" s="165" t="s">
        <v>191</v>
      </c>
      <c r="B1" s="165"/>
      <c r="C1" s="163" t="s">
        <v>80</v>
      </c>
    </row>
    <row r="3" spans="1:6">
      <c r="A3" t="s">
        <v>177</v>
      </c>
      <c r="C3" s="166">
        <f>+'Sources and Uses'!D26</f>
        <v>0</v>
      </c>
    </row>
    <row r="4" spans="1:6">
      <c r="A4" t="s">
        <v>424</v>
      </c>
      <c r="C4" s="166">
        <f>+'Sources and Uses'!D13</f>
        <v>2</v>
      </c>
    </row>
    <row r="5" spans="1:6">
      <c r="A5" t="s">
        <v>178</v>
      </c>
      <c r="C5" s="167">
        <f>+'Sources and Uses'!D12</f>
        <v>10</v>
      </c>
    </row>
    <row r="6" spans="1:6">
      <c r="A6" t="s">
        <v>179</v>
      </c>
      <c r="C6" s="168">
        <f>+'Sources and Uses'!D11</f>
        <v>0.06</v>
      </c>
    </row>
    <row r="8" spans="1:6">
      <c r="C8" s="169" t="s">
        <v>180</v>
      </c>
      <c r="D8" s="169" t="s">
        <v>181</v>
      </c>
      <c r="E8" s="169" t="s">
        <v>182</v>
      </c>
      <c r="F8" t="s">
        <v>183</v>
      </c>
    </row>
    <row r="9" spans="1:6">
      <c r="D9" s="170"/>
      <c r="E9" s="170"/>
      <c r="F9" s="171">
        <f>ROUND(PMT($C$6,$C$5-C4+1,-$C$3),-1)</f>
        <v>0</v>
      </c>
    </row>
    <row r="10" spans="1:6">
      <c r="B10" t="s">
        <v>54</v>
      </c>
    </row>
    <row r="11" spans="1:6">
      <c r="A11" s="172"/>
      <c r="B11" s="173">
        <v>1</v>
      </c>
      <c r="C11" s="174">
        <f>C3</f>
        <v>0</v>
      </c>
      <c r="D11" s="175">
        <f t="shared" ref="D11:D20" si="0">ROUND(IF(B11&gt;$C$5,C11,IF(B11&lt;$C$4,0,$F$9-E11)),-1)</f>
        <v>0</v>
      </c>
      <c r="E11" s="175">
        <f>ROUND(IF(B11&gt;$C$5,0,IF(B11&gt;$C$4,IPMT($C$6,B11-$C$4+1,$C$5-$C$4+1,-$C$3),IPMT($C$6,1,$C$5,-$C$3))),-1)</f>
        <v>0</v>
      </c>
    </row>
    <row r="12" spans="1:6">
      <c r="A12" s="172"/>
      <c r="B12" s="173">
        <f>1+B11</f>
        <v>2</v>
      </c>
      <c r="C12" s="174">
        <f>ROUNDUP(C11-D11,-1)</f>
        <v>0</v>
      </c>
      <c r="D12" s="175">
        <f t="shared" si="0"/>
        <v>0</v>
      </c>
      <c r="E12" s="175">
        <f t="shared" ref="E12:E30" si="1">ROUND(IF(B12&gt;$C$5,0,IF(B12&gt;$C$4,IPMT($C$6,B12-$C$4+1,$C$5-$C$4+1,-$C$3),IPMT($C$6,1,$C$5,-$C$3))),-1)</f>
        <v>0</v>
      </c>
    </row>
    <row r="13" spans="1:6">
      <c r="A13" s="172"/>
      <c r="B13" s="173">
        <f t="shared" ref="B13:B30" si="2">1+B12</f>
        <v>3</v>
      </c>
      <c r="C13" s="174">
        <f t="shared" ref="C13:C30" si="3">ROUNDUP(C12-D12,-1)</f>
        <v>0</v>
      </c>
      <c r="D13" s="175">
        <f t="shared" si="0"/>
        <v>0</v>
      </c>
      <c r="E13" s="175">
        <f t="shared" si="1"/>
        <v>0</v>
      </c>
      <c r="F13" s="176"/>
    </row>
    <row r="14" spans="1:6">
      <c r="A14" s="172"/>
      <c r="B14" s="173">
        <f t="shared" si="2"/>
        <v>4</v>
      </c>
      <c r="C14" s="174">
        <f t="shared" si="3"/>
        <v>0</v>
      </c>
      <c r="D14" s="175">
        <f t="shared" si="0"/>
        <v>0</v>
      </c>
      <c r="E14" s="175">
        <f t="shared" si="1"/>
        <v>0</v>
      </c>
      <c r="F14" s="176"/>
    </row>
    <row r="15" spans="1:6">
      <c r="A15" s="172"/>
      <c r="B15" s="173">
        <f t="shared" si="2"/>
        <v>5</v>
      </c>
      <c r="C15" s="174">
        <f t="shared" si="3"/>
        <v>0</v>
      </c>
      <c r="D15" s="175">
        <f t="shared" si="0"/>
        <v>0</v>
      </c>
      <c r="E15" s="175">
        <f t="shared" si="1"/>
        <v>0</v>
      </c>
      <c r="F15" s="176"/>
    </row>
    <row r="16" spans="1:6">
      <c r="A16" s="172"/>
      <c r="B16" s="173">
        <f t="shared" si="2"/>
        <v>6</v>
      </c>
      <c r="C16" s="174">
        <f t="shared" si="3"/>
        <v>0</v>
      </c>
      <c r="D16" s="175">
        <f t="shared" si="0"/>
        <v>0</v>
      </c>
      <c r="E16" s="175">
        <f t="shared" si="1"/>
        <v>0</v>
      </c>
      <c r="F16" s="176"/>
    </row>
    <row r="17" spans="1:6">
      <c r="A17" s="172"/>
      <c r="B17" s="173">
        <f t="shared" si="2"/>
        <v>7</v>
      </c>
      <c r="C17" s="174">
        <f t="shared" si="3"/>
        <v>0</v>
      </c>
      <c r="D17" s="175">
        <f t="shared" si="0"/>
        <v>0</v>
      </c>
      <c r="E17" s="175">
        <f t="shared" si="1"/>
        <v>0</v>
      </c>
      <c r="F17" s="176"/>
    </row>
    <row r="18" spans="1:6">
      <c r="A18" s="172"/>
      <c r="B18" s="173">
        <f t="shared" si="2"/>
        <v>8</v>
      </c>
      <c r="C18" s="174">
        <f t="shared" si="3"/>
        <v>0</v>
      </c>
      <c r="D18" s="175">
        <f t="shared" si="0"/>
        <v>0</v>
      </c>
      <c r="E18" s="175">
        <f t="shared" si="1"/>
        <v>0</v>
      </c>
      <c r="F18" s="176"/>
    </row>
    <row r="19" spans="1:6">
      <c r="A19" s="172"/>
      <c r="B19" s="173">
        <f t="shared" si="2"/>
        <v>9</v>
      </c>
      <c r="C19" s="174">
        <f t="shared" si="3"/>
        <v>0</v>
      </c>
      <c r="D19" s="175">
        <f t="shared" si="0"/>
        <v>0</v>
      </c>
      <c r="E19" s="175">
        <f t="shared" si="1"/>
        <v>0</v>
      </c>
      <c r="F19" s="176"/>
    </row>
    <row r="20" spans="1:6">
      <c r="A20" s="172"/>
      <c r="B20" s="173">
        <f t="shared" si="2"/>
        <v>10</v>
      </c>
      <c r="C20" s="174">
        <f t="shared" si="3"/>
        <v>0</v>
      </c>
      <c r="D20" s="175">
        <f t="shared" si="0"/>
        <v>0</v>
      </c>
      <c r="E20" s="175">
        <f t="shared" si="1"/>
        <v>0</v>
      </c>
      <c r="F20" s="176"/>
    </row>
    <row r="21" spans="1:6">
      <c r="A21" s="172"/>
      <c r="B21" s="173">
        <f t="shared" si="2"/>
        <v>11</v>
      </c>
      <c r="C21" s="174">
        <f t="shared" si="3"/>
        <v>0</v>
      </c>
      <c r="D21" s="175">
        <f>ROUND(IF(B21&gt;$C$5,C21,IF(B21&lt;$C$4,0,$F$9-E21)),-1)</f>
        <v>0</v>
      </c>
      <c r="E21" s="175">
        <f t="shared" si="1"/>
        <v>0</v>
      </c>
      <c r="F21" s="176"/>
    </row>
    <row r="22" spans="1:6">
      <c r="A22" s="172"/>
      <c r="B22" s="173">
        <f t="shared" si="2"/>
        <v>12</v>
      </c>
      <c r="C22" s="174">
        <f t="shared" si="3"/>
        <v>0</v>
      </c>
      <c r="D22" s="175">
        <f t="shared" ref="D22:D30" si="4">ROUND(IF(B22&gt;$C$5,C22,IF(B22&lt;$C$4,0,$F$9-E22)),-1)</f>
        <v>0</v>
      </c>
      <c r="E22" s="175">
        <f t="shared" si="1"/>
        <v>0</v>
      </c>
      <c r="F22" s="176"/>
    </row>
    <row r="23" spans="1:6">
      <c r="A23" s="172"/>
      <c r="B23" s="173">
        <f t="shared" si="2"/>
        <v>13</v>
      </c>
      <c r="C23" s="174">
        <f t="shared" si="3"/>
        <v>0</v>
      </c>
      <c r="D23" s="175">
        <f t="shared" si="4"/>
        <v>0</v>
      </c>
      <c r="E23" s="175">
        <f t="shared" si="1"/>
        <v>0</v>
      </c>
      <c r="F23" s="176"/>
    </row>
    <row r="24" spans="1:6">
      <c r="A24" s="172"/>
      <c r="B24" s="173">
        <f t="shared" si="2"/>
        <v>14</v>
      </c>
      <c r="C24" s="174">
        <f t="shared" si="3"/>
        <v>0</v>
      </c>
      <c r="D24" s="175">
        <f t="shared" si="4"/>
        <v>0</v>
      </c>
      <c r="E24" s="175">
        <f t="shared" si="1"/>
        <v>0</v>
      </c>
      <c r="F24" s="176"/>
    </row>
    <row r="25" spans="1:6">
      <c r="A25" s="172"/>
      <c r="B25" s="173">
        <f t="shared" si="2"/>
        <v>15</v>
      </c>
      <c r="C25" s="174">
        <f t="shared" si="3"/>
        <v>0</v>
      </c>
      <c r="D25" s="175">
        <f t="shared" si="4"/>
        <v>0</v>
      </c>
      <c r="E25" s="175">
        <f t="shared" si="1"/>
        <v>0</v>
      </c>
      <c r="F25" s="176"/>
    </row>
    <row r="26" spans="1:6">
      <c r="A26" s="172"/>
      <c r="B26" s="173">
        <f t="shared" si="2"/>
        <v>16</v>
      </c>
      <c r="C26" s="174">
        <f t="shared" si="3"/>
        <v>0</v>
      </c>
      <c r="D26" s="175">
        <f t="shared" si="4"/>
        <v>0</v>
      </c>
      <c r="E26" s="175">
        <f t="shared" si="1"/>
        <v>0</v>
      </c>
      <c r="F26" s="176"/>
    </row>
    <row r="27" spans="1:6">
      <c r="A27" s="172"/>
      <c r="B27" s="173">
        <f t="shared" si="2"/>
        <v>17</v>
      </c>
      <c r="C27" s="174">
        <f t="shared" si="3"/>
        <v>0</v>
      </c>
      <c r="D27" s="175">
        <f t="shared" si="4"/>
        <v>0</v>
      </c>
      <c r="E27" s="175">
        <f t="shared" si="1"/>
        <v>0</v>
      </c>
      <c r="F27" s="176"/>
    </row>
    <row r="28" spans="1:6">
      <c r="A28" s="172"/>
      <c r="B28" s="173">
        <f t="shared" si="2"/>
        <v>18</v>
      </c>
      <c r="C28" s="174">
        <f t="shared" si="3"/>
        <v>0</v>
      </c>
      <c r="D28" s="175">
        <f t="shared" si="4"/>
        <v>0</v>
      </c>
      <c r="E28" s="175">
        <f t="shared" si="1"/>
        <v>0</v>
      </c>
      <c r="F28" s="176"/>
    </row>
    <row r="29" spans="1:6">
      <c r="A29" s="172"/>
      <c r="B29" s="173">
        <f t="shared" si="2"/>
        <v>19</v>
      </c>
      <c r="C29" s="174">
        <f t="shared" si="3"/>
        <v>0</v>
      </c>
      <c r="D29" s="175">
        <f t="shared" si="4"/>
        <v>0</v>
      </c>
      <c r="E29" s="175">
        <f t="shared" si="1"/>
        <v>0</v>
      </c>
      <c r="F29" s="176"/>
    </row>
    <row r="30" spans="1:6">
      <c r="A30" s="172"/>
      <c r="B30" s="173">
        <f t="shared" si="2"/>
        <v>20</v>
      </c>
      <c r="C30" s="174">
        <f t="shared" si="3"/>
        <v>0</v>
      </c>
      <c r="D30" s="175">
        <f t="shared" si="4"/>
        <v>0</v>
      </c>
      <c r="E30" s="175">
        <f t="shared" si="1"/>
        <v>0</v>
      </c>
      <c r="F30" s="176"/>
    </row>
    <row r="31" spans="1:6">
      <c r="B31" s="173"/>
      <c r="C31" s="177"/>
      <c r="D31" s="175">
        <f>SUM(D11:D30)</f>
        <v>0</v>
      </c>
      <c r="E31" s="175">
        <f>SUM(E11:E30)</f>
        <v>0</v>
      </c>
    </row>
    <row r="32" spans="1:6">
      <c r="B32" s="173"/>
      <c r="C32" s="177"/>
      <c r="D32" s="171"/>
      <c r="E32" s="171"/>
    </row>
    <row r="33" spans="1:12">
      <c r="B33" s="722" t="s">
        <v>192</v>
      </c>
      <c r="C33" s="722"/>
      <c r="D33" s="722"/>
      <c r="E33" s="722"/>
      <c r="F33" s="722"/>
      <c r="G33" s="722"/>
      <c r="H33" s="722"/>
      <c r="I33" s="722"/>
      <c r="J33" s="722"/>
      <c r="K33" s="722"/>
    </row>
    <row r="34" spans="1:12">
      <c r="B34">
        <v>1</v>
      </c>
      <c r="C34">
        <f>+B34+1</f>
        <v>2</v>
      </c>
      <c r="D34">
        <f t="shared" ref="D34:K34" si="5">+C34+1</f>
        <v>3</v>
      </c>
      <c r="E34">
        <f t="shared" si="5"/>
        <v>4</v>
      </c>
      <c r="F34">
        <f t="shared" si="5"/>
        <v>5</v>
      </c>
      <c r="G34">
        <f t="shared" si="5"/>
        <v>6</v>
      </c>
      <c r="H34">
        <f t="shared" si="5"/>
        <v>7</v>
      </c>
      <c r="I34">
        <f t="shared" si="5"/>
        <v>8</v>
      </c>
      <c r="J34">
        <f t="shared" si="5"/>
        <v>9</v>
      </c>
      <c r="K34">
        <f t="shared" si="5"/>
        <v>10</v>
      </c>
    </row>
    <row r="35" spans="1:12">
      <c r="A35" t="s">
        <v>184</v>
      </c>
      <c r="B35" s="179">
        <v>0</v>
      </c>
      <c r="C35" s="179">
        <v>0</v>
      </c>
      <c r="D35" s="179">
        <f>-$D11</f>
        <v>0</v>
      </c>
      <c r="E35" s="179">
        <f>-$D12</f>
        <v>0</v>
      </c>
      <c r="F35" s="179">
        <f>-$D13</f>
        <v>0</v>
      </c>
      <c r="G35" s="179">
        <f>-$D14</f>
        <v>0</v>
      </c>
      <c r="H35" s="179">
        <f>-$D15</f>
        <v>0</v>
      </c>
      <c r="I35" s="179">
        <f>-$D16</f>
        <v>0</v>
      </c>
      <c r="J35" s="179">
        <f>-$D17</f>
        <v>0</v>
      </c>
      <c r="K35" s="179">
        <f>-$D18</f>
        <v>0</v>
      </c>
    </row>
    <row r="36" spans="1:12" ht="16.5">
      <c r="A36" t="s">
        <v>185</v>
      </c>
      <c r="B36" s="180">
        <v>0</v>
      </c>
      <c r="C36" s="180">
        <v>0</v>
      </c>
      <c r="D36" s="180">
        <f>-$E11</f>
        <v>0</v>
      </c>
      <c r="E36" s="180">
        <f>-$E12</f>
        <v>0</v>
      </c>
      <c r="F36" s="180">
        <f>-$E13</f>
        <v>0</v>
      </c>
      <c r="G36" s="180">
        <f>-$E14</f>
        <v>0</v>
      </c>
      <c r="H36" s="180">
        <f>-$E15</f>
        <v>0</v>
      </c>
      <c r="I36" s="180">
        <f>-$E16</f>
        <v>0</v>
      </c>
      <c r="J36" s="180">
        <f>-$E17</f>
        <v>0</v>
      </c>
      <c r="K36" s="180">
        <f>-$E18</f>
        <v>0</v>
      </c>
      <c r="L36" s="178"/>
    </row>
    <row r="37" spans="1:12">
      <c r="B37" s="179">
        <f>+K34+1</f>
        <v>11</v>
      </c>
      <c r="C37" s="179">
        <f t="shared" ref="C37:K37" si="6">+B37+1</f>
        <v>12</v>
      </c>
      <c r="D37" s="179">
        <f t="shared" si="6"/>
        <v>13</v>
      </c>
      <c r="E37" s="179">
        <f t="shared" si="6"/>
        <v>14</v>
      </c>
      <c r="F37" s="179">
        <f t="shared" si="6"/>
        <v>15</v>
      </c>
      <c r="G37" s="179">
        <f t="shared" si="6"/>
        <v>16</v>
      </c>
      <c r="H37" s="179">
        <f t="shared" si="6"/>
        <v>17</v>
      </c>
      <c r="I37" s="179">
        <f t="shared" si="6"/>
        <v>18</v>
      </c>
      <c r="J37" s="179">
        <f t="shared" si="6"/>
        <v>19</v>
      </c>
      <c r="K37" s="179">
        <f t="shared" si="6"/>
        <v>20</v>
      </c>
    </row>
    <row r="38" spans="1:12">
      <c r="A38" t="s">
        <v>184</v>
      </c>
      <c r="B38" s="179">
        <f>-$D19</f>
        <v>0</v>
      </c>
      <c r="C38" s="179">
        <f>-$D20</f>
        <v>0</v>
      </c>
      <c r="D38" s="179">
        <f>-$D21</f>
        <v>0</v>
      </c>
      <c r="E38" s="179">
        <f>-$D22</f>
        <v>0</v>
      </c>
      <c r="F38" s="179">
        <f>-$D23</f>
        <v>0</v>
      </c>
      <c r="G38" s="179">
        <f>-$D24</f>
        <v>0</v>
      </c>
      <c r="H38" s="179">
        <f>-$D25</f>
        <v>0</v>
      </c>
      <c r="I38" s="179">
        <f>-$D26</f>
        <v>0</v>
      </c>
      <c r="J38" s="179">
        <f>-$D27</f>
        <v>0</v>
      </c>
      <c r="K38" s="179">
        <f>-$D28</f>
        <v>0</v>
      </c>
    </row>
    <row r="39" spans="1:12" ht="16.5">
      <c r="A39" t="s">
        <v>185</v>
      </c>
      <c r="B39" s="180">
        <f>-$E19</f>
        <v>0</v>
      </c>
      <c r="C39" s="180">
        <f>-$E20</f>
        <v>0</v>
      </c>
      <c r="D39" s="180">
        <f>-$E21</f>
        <v>0</v>
      </c>
      <c r="E39" s="180">
        <f>-$E22</f>
        <v>0</v>
      </c>
      <c r="F39" s="180">
        <f>-$E23</f>
        <v>0</v>
      </c>
      <c r="G39" s="180">
        <f>-$E24</f>
        <v>0</v>
      </c>
      <c r="H39" s="180">
        <f>-$E25</f>
        <v>0</v>
      </c>
      <c r="I39" s="180">
        <f>-$E26</f>
        <v>0</v>
      </c>
      <c r="J39" s="180">
        <f>-$E27</f>
        <v>0</v>
      </c>
      <c r="K39" s="180">
        <f>-$E28</f>
        <v>0</v>
      </c>
    </row>
    <row r="41" spans="1:12">
      <c r="A41" t="s">
        <v>423</v>
      </c>
      <c r="B41">
        <v>0</v>
      </c>
      <c r="C41">
        <v>0</v>
      </c>
      <c r="D41" s="174">
        <f>+C11</f>
        <v>0</v>
      </c>
      <c r="E41" s="174">
        <f>+C12</f>
        <v>0</v>
      </c>
      <c r="F41" s="174">
        <f>+C13</f>
        <v>0</v>
      </c>
      <c r="G41" s="174">
        <f>+C14</f>
        <v>0</v>
      </c>
      <c r="H41" s="174">
        <f>+C14</f>
        <v>0</v>
      </c>
      <c r="I41" s="174">
        <f>+C15</f>
        <v>0</v>
      </c>
      <c r="J41" s="174">
        <f>+C16</f>
        <v>0</v>
      </c>
      <c r="K41" s="174">
        <f>+C17</f>
        <v>0</v>
      </c>
    </row>
  </sheetData>
  <mergeCells count="1">
    <mergeCell ref="B33:K33"/>
  </mergeCells>
  <phoneticPr fontId="3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>
  <dimension ref="A1:L41"/>
  <sheetViews>
    <sheetView topLeftCell="A18" workbookViewId="0">
      <selection activeCell="O23" sqref="O23"/>
    </sheetView>
  </sheetViews>
  <sheetFormatPr defaultColWidth="3.7109375" defaultRowHeight="15"/>
  <cols>
    <col min="1" max="1" width="3.85546875" customWidth="1"/>
    <col min="2" max="2" width="28.140625" customWidth="1"/>
    <col min="3" max="3" width="14.28515625" customWidth="1"/>
    <col min="4" max="4" width="15.85546875" customWidth="1"/>
    <col min="5" max="5" width="14.7109375" customWidth="1"/>
    <col min="6" max="6" width="13.85546875" customWidth="1"/>
    <col min="7" max="7" width="15.140625" customWidth="1"/>
    <col min="8" max="8" width="14.7109375" customWidth="1"/>
    <col min="9" max="9" width="15.7109375" customWidth="1"/>
    <col min="10" max="10" width="14.28515625" customWidth="1"/>
    <col min="11" max="11" width="15.7109375" customWidth="1"/>
  </cols>
  <sheetData>
    <row r="1" spans="1:6">
      <c r="A1" s="165" t="s">
        <v>191</v>
      </c>
      <c r="B1" s="165"/>
      <c r="C1" s="163" t="s">
        <v>81</v>
      </c>
    </row>
    <row r="3" spans="1:6">
      <c r="A3" t="s">
        <v>177</v>
      </c>
      <c r="C3" s="166">
        <f>+'Sources and Uses'!E26</f>
        <v>0</v>
      </c>
    </row>
    <row r="4" spans="1:6">
      <c r="A4" t="s">
        <v>424</v>
      </c>
      <c r="C4" s="166">
        <f>+'Sources and Uses'!E13</f>
        <v>1</v>
      </c>
    </row>
    <row r="5" spans="1:6">
      <c r="A5" t="s">
        <v>178</v>
      </c>
      <c r="C5" s="167">
        <f>+'Sources and Uses'!E12</f>
        <v>10</v>
      </c>
    </row>
    <row r="6" spans="1:6">
      <c r="A6" t="s">
        <v>179</v>
      </c>
      <c r="C6" s="168">
        <f>+'Sources and Uses'!E11</f>
        <v>0.06</v>
      </c>
    </row>
    <row r="8" spans="1:6">
      <c r="C8" s="169" t="s">
        <v>180</v>
      </c>
      <c r="D8" s="169" t="s">
        <v>181</v>
      </c>
      <c r="E8" s="169" t="s">
        <v>182</v>
      </c>
      <c r="F8" t="s">
        <v>183</v>
      </c>
    </row>
    <row r="9" spans="1:6">
      <c r="D9" s="170"/>
      <c r="E9" s="170"/>
      <c r="F9" s="171">
        <f>ROUND(PMT($C$6,$C$5-C4+1,-$C$3),-1)</f>
        <v>0</v>
      </c>
    </row>
    <row r="10" spans="1:6">
      <c r="B10" t="s">
        <v>54</v>
      </c>
    </row>
    <row r="11" spans="1:6">
      <c r="A11" s="172"/>
      <c r="B11" s="173">
        <v>1</v>
      </c>
      <c r="C11" s="174">
        <f>C3</f>
        <v>0</v>
      </c>
      <c r="D11" s="175">
        <f t="shared" ref="D11:D20" si="0">ROUND(IF(B11&gt;$C$5,C11,IF(B11&lt;$C$4,0,$F$9-E11)),-1)</f>
        <v>0</v>
      </c>
      <c r="E11" s="175">
        <f>ROUND(IF(B11&gt;$C$5,0,IF(B11&gt;$C$4,IPMT($C$6,B11-$C$4+1,$C$5-$C$4+1,-$C$3),IPMT($C$6,1,$C$5,-$C$3))),-1)</f>
        <v>0</v>
      </c>
    </row>
    <row r="12" spans="1:6">
      <c r="A12" s="172"/>
      <c r="B12" s="173">
        <f>1+B11</f>
        <v>2</v>
      </c>
      <c r="C12" s="174">
        <f>ROUNDUP(C11-D11,-1)</f>
        <v>0</v>
      </c>
      <c r="D12" s="175">
        <f t="shared" si="0"/>
        <v>0</v>
      </c>
      <c r="E12" s="175">
        <f t="shared" ref="E12:E30" si="1">ROUND(IF(B12&gt;$C$5,0,IF(B12&gt;$C$4,IPMT($C$6,B12-$C$4+1,$C$5-$C$4+1,-$C$3),IPMT($C$6,1,$C$5,-$C$3))),-1)</f>
        <v>0</v>
      </c>
    </row>
    <row r="13" spans="1:6">
      <c r="A13" s="172"/>
      <c r="B13" s="173">
        <f t="shared" ref="B13:B30" si="2">1+B12</f>
        <v>3</v>
      </c>
      <c r="C13" s="174">
        <f t="shared" ref="C13:C30" si="3">ROUNDUP(C12-D12,-1)</f>
        <v>0</v>
      </c>
      <c r="D13" s="175">
        <f t="shared" si="0"/>
        <v>0</v>
      </c>
      <c r="E13" s="175">
        <f t="shared" si="1"/>
        <v>0</v>
      </c>
      <c r="F13" s="176"/>
    </row>
    <row r="14" spans="1:6">
      <c r="A14" s="172"/>
      <c r="B14" s="173">
        <f t="shared" si="2"/>
        <v>4</v>
      </c>
      <c r="C14" s="174">
        <f t="shared" si="3"/>
        <v>0</v>
      </c>
      <c r="D14" s="175">
        <f t="shared" si="0"/>
        <v>0</v>
      </c>
      <c r="E14" s="175">
        <f t="shared" si="1"/>
        <v>0</v>
      </c>
      <c r="F14" s="176"/>
    </row>
    <row r="15" spans="1:6">
      <c r="A15" s="172"/>
      <c r="B15" s="173">
        <f t="shared" si="2"/>
        <v>5</v>
      </c>
      <c r="C15" s="174">
        <f t="shared" si="3"/>
        <v>0</v>
      </c>
      <c r="D15" s="175">
        <f t="shared" si="0"/>
        <v>0</v>
      </c>
      <c r="E15" s="175">
        <f t="shared" si="1"/>
        <v>0</v>
      </c>
      <c r="F15" s="176"/>
    </row>
    <row r="16" spans="1:6">
      <c r="A16" s="172"/>
      <c r="B16" s="173">
        <f t="shared" si="2"/>
        <v>6</v>
      </c>
      <c r="C16" s="174">
        <f t="shared" si="3"/>
        <v>0</v>
      </c>
      <c r="D16" s="175">
        <f t="shared" si="0"/>
        <v>0</v>
      </c>
      <c r="E16" s="175">
        <f t="shared" si="1"/>
        <v>0</v>
      </c>
      <c r="F16" s="176"/>
    </row>
    <row r="17" spans="1:6">
      <c r="A17" s="172"/>
      <c r="B17" s="173">
        <f t="shared" si="2"/>
        <v>7</v>
      </c>
      <c r="C17" s="174">
        <f t="shared" si="3"/>
        <v>0</v>
      </c>
      <c r="D17" s="175">
        <f t="shared" si="0"/>
        <v>0</v>
      </c>
      <c r="E17" s="175">
        <f t="shared" si="1"/>
        <v>0</v>
      </c>
      <c r="F17" s="176"/>
    </row>
    <row r="18" spans="1:6">
      <c r="A18" s="172"/>
      <c r="B18" s="173">
        <f t="shared" si="2"/>
        <v>8</v>
      </c>
      <c r="C18" s="174">
        <f t="shared" si="3"/>
        <v>0</v>
      </c>
      <c r="D18" s="175">
        <f t="shared" si="0"/>
        <v>0</v>
      </c>
      <c r="E18" s="175">
        <f t="shared" si="1"/>
        <v>0</v>
      </c>
      <c r="F18" s="176"/>
    </row>
    <row r="19" spans="1:6">
      <c r="A19" s="172"/>
      <c r="B19" s="173">
        <f t="shared" si="2"/>
        <v>9</v>
      </c>
      <c r="C19" s="174">
        <f t="shared" si="3"/>
        <v>0</v>
      </c>
      <c r="D19" s="175">
        <f t="shared" si="0"/>
        <v>0</v>
      </c>
      <c r="E19" s="175">
        <f t="shared" si="1"/>
        <v>0</v>
      </c>
      <c r="F19" s="176"/>
    </row>
    <row r="20" spans="1:6">
      <c r="A20" s="172"/>
      <c r="B20" s="173">
        <f t="shared" si="2"/>
        <v>10</v>
      </c>
      <c r="C20" s="174">
        <f t="shared" si="3"/>
        <v>0</v>
      </c>
      <c r="D20" s="175">
        <f t="shared" si="0"/>
        <v>0</v>
      </c>
      <c r="E20" s="175">
        <f t="shared" si="1"/>
        <v>0</v>
      </c>
      <c r="F20" s="176"/>
    </row>
    <row r="21" spans="1:6">
      <c r="A21" s="172"/>
      <c r="B21" s="173">
        <f t="shared" si="2"/>
        <v>11</v>
      </c>
      <c r="C21" s="174">
        <f t="shared" si="3"/>
        <v>0</v>
      </c>
      <c r="D21" s="175">
        <f>ROUND(IF(B21&gt;$C$5,C21,IF(B21&lt;$C$4,0,$F$9-E21)),-1)</f>
        <v>0</v>
      </c>
      <c r="E21" s="175">
        <f t="shared" si="1"/>
        <v>0</v>
      </c>
      <c r="F21" s="176"/>
    </row>
    <row r="22" spans="1:6">
      <c r="A22" s="172"/>
      <c r="B22" s="173">
        <f t="shared" si="2"/>
        <v>12</v>
      </c>
      <c r="C22" s="174">
        <f t="shared" si="3"/>
        <v>0</v>
      </c>
      <c r="D22" s="175">
        <f t="shared" ref="D22:D30" si="4">ROUND(IF(B22&gt;$C$5,C22,IF(B22&lt;$C$4,0,$F$9-E22)),-1)</f>
        <v>0</v>
      </c>
      <c r="E22" s="175">
        <f t="shared" si="1"/>
        <v>0</v>
      </c>
      <c r="F22" s="176"/>
    </row>
    <row r="23" spans="1:6">
      <c r="A23" s="172"/>
      <c r="B23" s="173">
        <f t="shared" si="2"/>
        <v>13</v>
      </c>
      <c r="C23" s="174">
        <f t="shared" si="3"/>
        <v>0</v>
      </c>
      <c r="D23" s="175">
        <f t="shared" si="4"/>
        <v>0</v>
      </c>
      <c r="E23" s="175">
        <f t="shared" si="1"/>
        <v>0</v>
      </c>
      <c r="F23" s="176"/>
    </row>
    <row r="24" spans="1:6">
      <c r="A24" s="172"/>
      <c r="B24" s="173">
        <f t="shared" si="2"/>
        <v>14</v>
      </c>
      <c r="C24" s="174">
        <f t="shared" si="3"/>
        <v>0</v>
      </c>
      <c r="D24" s="175">
        <f t="shared" si="4"/>
        <v>0</v>
      </c>
      <c r="E24" s="175">
        <f t="shared" si="1"/>
        <v>0</v>
      </c>
      <c r="F24" s="176"/>
    </row>
    <row r="25" spans="1:6">
      <c r="A25" s="172"/>
      <c r="B25" s="173">
        <f t="shared" si="2"/>
        <v>15</v>
      </c>
      <c r="C25" s="174">
        <f t="shared" si="3"/>
        <v>0</v>
      </c>
      <c r="D25" s="175">
        <f t="shared" si="4"/>
        <v>0</v>
      </c>
      <c r="E25" s="175">
        <f t="shared" si="1"/>
        <v>0</v>
      </c>
      <c r="F25" s="176"/>
    </row>
    <row r="26" spans="1:6">
      <c r="A26" s="172"/>
      <c r="B26" s="173">
        <f t="shared" si="2"/>
        <v>16</v>
      </c>
      <c r="C26" s="174">
        <f t="shared" si="3"/>
        <v>0</v>
      </c>
      <c r="D26" s="175">
        <f t="shared" si="4"/>
        <v>0</v>
      </c>
      <c r="E26" s="175">
        <f t="shared" si="1"/>
        <v>0</v>
      </c>
      <c r="F26" s="176"/>
    </row>
    <row r="27" spans="1:6">
      <c r="A27" s="172"/>
      <c r="B27" s="173">
        <f t="shared" si="2"/>
        <v>17</v>
      </c>
      <c r="C27" s="174">
        <f t="shared" si="3"/>
        <v>0</v>
      </c>
      <c r="D27" s="175">
        <f t="shared" si="4"/>
        <v>0</v>
      </c>
      <c r="E27" s="175">
        <f t="shared" si="1"/>
        <v>0</v>
      </c>
      <c r="F27" s="176"/>
    </row>
    <row r="28" spans="1:6">
      <c r="A28" s="172"/>
      <c r="B28" s="173">
        <f t="shared" si="2"/>
        <v>18</v>
      </c>
      <c r="C28" s="174">
        <f t="shared" si="3"/>
        <v>0</v>
      </c>
      <c r="D28" s="175">
        <f t="shared" si="4"/>
        <v>0</v>
      </c>
      <c r="E28" s="175">
        <f t="shared" si="1"/>
        <v>0</v>
      </c>
      <c r="F28" s="176"/>
    </row>
    <row r="29" spans="1:6">
      <c r="A29" s="172"/>
      <c r="B29" s="173">
        <f t="shared" si="2"/>
        <v>19</v>
      </c>
      <c r="C29" s="174">
        <f t="shared" si="3"/>
        <v>0</v>
      </c>
      <c r="D29" s="175">
        <f t="shared" si="4"/>
        <v>0</v>
      </c>
      <c r="E29" s="175">
        <f t="shared" si="1"/>
        <v>0</v>
      </c>
      <c r="F29" s="176"/>
    </row>
    <row r="30" spans="1:6">
      <c r="A30" s="172"/>
      <c r="B30" s="173">
        <f t="shared" si="2"/>
        <v>20</v>
      </c>
      <c r="C30" s="174">
        <f t="shared" si="3"/>
        <v>0</v>
      </c>
      <c r="D30" s="175">
        <f t="shared" si="4"/>
        <v>0</v>
      </c>
      <c r="E30" s="175">
        <f t="shared" si="1"/>
        <v>0</v>
      </c>
      <c r="F30" s="176"/>
    </row>
    <row r="31" spans="1:6">
      <c r="B31" s="173"/>
      <c r="C31" s="177"/>
      <c r="D31" s="175">
        <f>SUM(D11:D30)</f>
        <v>0</v>
      </c>
      <c r="E31" s="175">
        <f>SUM(E11:E30)</f>
        <v>0</v>
      </c>
    </row>
    <row r="32" spans="1:6">
      <c r="B32" s="173"/>
      <c r="C32" s="177"/>
      <c r="D32" s="171"/>
      <c r="E32" s="171"/>
    </row>
    <row r="33" spans="1:12">
      <c r="B33" s="722" t="s">
        <v>192</v>
      </c>
      <c r="C33" s="722"/>
      <c r="D33" s="722"/>
      <c r="E33" s="722"/>
      <c r="F33" s="722"/>
      <c r="G33" s="722"/>
      <c r="H33" s="722"/>
      <c r="I33" s="722"/>
      <c r="J33" s="722"/>
      <c r="K33" s="722"/>
    </row>
    <row r="34" spans="1:12">
      <c r="B34">
        <v>1</v>
      </c>
      <c r="C34">
        <f>+B34+1</f>
        <v>2</v>
      </c>
      <c r="D34">
        <f t="shared" ref="D34:K34" si="5">+C34+1</f>
        <v>3</v>
      </c>
      <c r="E34">
        <f t="shared" si="5"/>
        <v>4</v>
      </c>
      <c r="F34">
        <f t="shared" si="5"/>
        <v>5</v>
      </c>
      <c r="G34">
        <f t="shared" si="5"/>
        <v>6</v>
      </c>
      <c r="H34">
        <f t="shared" si="5"/>
        <v>7</v>
      </c>
      <c r="I34">
        <f t="shared" si="5"/>
        <v>8</v>
      </c>
      <c r="J34">
        <f t="shared" si="5"/>
        <v>9</v>
      </c>
      <c r="K34">
        <f t="shared" si="5"/>
        <v>10</v>
      </c>
    </row>
    <row r="35" spans="1:12">
      <c r="A35" t="s">
        <v>184</v>
      </c>
      <c r="B35" s="179">
        <v>0</v>
      </c>
      <c r="C35" s="179">
        <v>0</v>
      </c>
      <c r="D35" s="179">
        <v>0</v>
      </c>
      <c r="E35" s="179">
        <f>-$D11</f>
        <v>0</v>
      </c>
      <c r="F35" s="179">
        <f>-$D12</f>
        <v>0</v>
      </c>
      <c r="G35" s="179">
        <f>-$D13</f>
        <v>0</v>
      </c>
      <c r="H35" s="179">
        <f>-$D14</f>
        <v>0</v>
      </c>
      <c r="I35" s="179">
        <f>-$D15</f>
        <v>0</v>
      </c>
      <c r="J35" s="179">
        <f>-$D16</f>
        <v>0</v>
      </c>
      <c r="K35" s="179">
        <f>-$D17</f>
        <v>0</v>
      </c>
    </row>
    <row r="36" spans="1:12" ht="16.5">
      <c r="A36" t="s">
        <v>185</v>
      </c>
      <c r="B36" s="180">
        <v>0</v>
      </c>
      <c r="C36" s="180">
        <v>0</v>
      </c>
      <c r="D36" s="180">
        <v>0</v>
      </c>
      <c r="E36" s="180">
        <f>-$E11</f>
        <v>0</v>
      </c>
      <c r="F36" s="180">
        <f>-$E12</f>
        <v>0</v>
      </c>
      <c r="G36" s="180">
        <f>-$E13</f>
        <v>0</v>
      </c>
      <c r="H36" s="180">
        <f>-$E14</f>
        <v>0</v>
      </c>
      <c r="I36" s="180">
        <f>-$E15</f>
        <v>0</v>
      </c>
      <c r="J36" s="180">
        <f>-$E16</f>
        <v>0</v>
      </c>
      <c r="K36" s="180">
        <f>-$E17</f>
        <v>0</v>
      </c>
    </row>
    <row r="37" spans="1:12">
      <c r="B37" s="179">
        <f>+K34+1</f>
        <v>11</v>
      </c>
      <c r="C37" s="179">
        <f t="shared" ref="C37:K37" si="6">+B37+1</f>
        <v>12</v>
      </c>
      <c r="D37" s="179">
        <f t="shared" si="6"/>
        <v>13</v>
      </c>
      <c r="E37" s="179">
        <f t="shared" si="6"/>
        <v>14</v>
      </c>
      <c r="F37" s="179">
        <f t="shared" si="6"/>
        <v>15</v>
      </c>
      <c r="G37" s="179">
        <f t="shared" si="6"/>
        <v>16</v>
      </c>
      <c r="H37" s="179">
        <f t="shared" si="6"/>
        <v>17</v>
      </c>
      <c r="I37" s="179">
        <f t="shared" si="6"/>
        <v>18</v>
      </c>
      <c r="J37" s="179">
        <f t="shared" si="6"/>
        <v>19</v>
      </c>
      <c r="K37" s="179">
        <f t="shared" si="6"/>
        <v>20</v>
      </c>
    </row>
    <row r="38" spans="1:12">
      <c r="A38" t="s">
        <v>184</v>
      </c>
      <c r="B38" s="179">
        <f>-$D18</f>
        <v>0</v>
      </c>
      <c r="C38" s="179">
        <f>-$D19</f>
        <v>0</v>
      </c>
      <c r="D38" s="179">
        <f>-$D20</f>
        <v>0</v>
      </c>
      <c r="E38" s="179">
        <f>-$D21</f>
        <v>0</v>
      </c>
      <c r="F38" s="179">
        <f>-$D22</f>
        <v>0</v>
      </c>
      <c r="G38" s="179">
        <f>-$D23</f>
        <v>0</v>
      </c>
      <c r="H38" s="179">
        <f>-$D24</f>
        <v>0</v>
      </c>
      <c r="I38" s="179">
        <f>-$D25</f>
        <v>0</v>
      </c>
      <c r="J38" s="179">
        <f>-$D26</f>
        <v>0</v>
      </c>
      <c r="K38" s="179">
        <f>-$D27</f>
        <v>0</v>
      </c>
    </row>
    <row r="39" spans="1:12" ht="16.5">
      <c r="A39" t="s">
        <v>185</v>
      </c>
      <c r="B39" s="180">
        <f>-$E18</f>
        <v>0</v>
      </c>
      <c r="C39" s="180">
        <f>-$E19</f>
        <v>0</v>
      </c>
      <c r="D39" s="180">
        <f>-$E20</f>
        <v>0</v>
      </c>
      <c r="E39" s="180">
        <f>-$E21</f>
        <v>0</v>
      </c>
      <c r="F39" s="180">
        <f>-$E22</f>
        <v>0</v>
      </c>
      <c r="G39" s="180">
        <f>-$E23</f>
        <v>0</v>
      </c>
      <c r="H39" s="180">
        <f>-$E24</f>
        <v>0</v>
      </c>
      <c r="I39" s="180">
        <f>-$E25</f>
        <v>0</v>
      </c>
      <c r="J39" s="180">
        <f>-$E26</f>
        <v>0</v>
      </c>
      <c r="K39" s="180">
        <f>-$E27</f>
        <v>0</v>
      </c>
    </row>
    <row r="41" spans="1:12">
      <c r="A41" t="s">
        <v>423</v>
      </c>
      <c r="B41">
        <v>0</v>
      </c>
      <c r="C41">
        <v>0</v>
      </c>
      <c r="D41">
        <v>0</v>
      </c>
      <c r="E41" s="174">
        <f>+C11</f>
        <v>0</v>
      </c>
      <c r="F41" s="174">
        <f>+C12</f>
        <v>0</v>
      </c>
      <c r="G41" s="174">
        <f>+C13</f>
        <v>0</v>
      </c>
      <c r="H41" s="174">
        <f>+C14</f>
        <v>0</v>
      </c>
      <c r="I41" s="174">
        <f>+C14</f>
        <v>0</v>
      </c>
      <c r="J41" s="174">
        <f>+C15</f>
        <v>0</v>
      </c>
      <c r="K41" s="174">
        <f>+C16</f>
        <v>0</v>
      </c>
      <c r="L41" s="174">
        <f>+C17</f>
        <v>0</v>
      </c>
    </row>
  </sheetData>
  <mergeCells count="1">
    <mergeCell ref="B33:K33"/>
  </mergeCells>
  <phoneticPr fontId="3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O181"/>
  <sheetViews>
    <sheetView topLeftCell="A36" workbookViewId="0">
      <selection activeCell="N46" sqref="N46"/>
    </sheetView>
  </sheetViews>
  <sheetFormatPr defaultColWidth="8.85546875" defaultRowHeight="15"/>
  <cols>
    <col min="1" max="1" width="4.85546875" customWidth="1"/>
    <col min="2" max="2" width="1.42578125" customWidth="1"/>
    <col min="3" max="3" width="42.28515625" customWidth="1"/>
    <col min="4" max="4" width="15.140625" customWidth="1"/>
    <col min="5" max="5" width="14.85546875" customWidth="1"/>
    <col min="6" max="6" width="14.5703125" customWidth="1"/>
    <col min="7" max="7" width="14" customWidth="1"/>
    <col min="8" max="8" width="13.5703125" customWidth="1"/>
    <col min="9" max="9" width="13.28515625" customWidth="1"/>
    <col min="10" max="10" width="12.7109375" customWidth="1"/>
    <col min="11" max="11" width="13.7109375" customWidth="1"/>
    <col min="12" max="12" width="13.85546875" customWidth="1"/>
    <col min="13" max="13" width="16" customWidth="1"/>
    <col min="14" max="14" width="8.85546875" style="290"/>
  </cols>
  <sheetData>
    <row r="1" spans="1:15" ht="15.75" thickBot="1">
      <c r="A1" s="5"/>
      <c r="B1" s="5"/>
      <c r="D1" s="5"/>
      <c r="E1" s="5"/>
      <c r="F1" s="5"/>
      <c r="G1" s="5"/>
      <c r="H1" s="5"/>
      <c r="I1" s="5"/>
      <c r="J1" s="5"/>
      <c r="K1" s="5"/>
      <c r="L1" s="5"/>
      <c r="M1" s="5"/>
      <c r="N1" s="10"/>
      <c r="O1" s="5"/>
    </row>
    <row r="2" spans="1:15">
      <c r="A2" s="5"/>
      <c r="B2" s="16"/>
      <c r="C2" s="622" t="s">
        <v>150</v>
      </c>
      <c r="D2" s="14"/>
      <c r="E2" s="616"/>
      <c r="F2" s="616"/>
      <c r="G2" s="616"/>
      <c r="H2" s="616"/>
      <c r="I2" s="5"/>
      <c r="J2" s="5"/>
      <c r="K2" s="5"/>
      <c r="L2" s="5"/>
      <c r="M2" s="5"/>
      <c r="N2" s="10"/>
      <c r="O2" s="5"/>
    </row>
    <row r="3" spans="1:15">
      <c r="A3" s="5"/>
      <c r="B3" s="19"/>
      <c r="C3" s="623"/>
      <c r="D3" s="14"/>
      <c r="E3" s="616"/>
      <c r="F3" s="616"/>
      <c r="G3" s="616"/>
      <c r="H3" s="616"/>
      <c r="I3" s="5"/>
      <c r="J3" s="5"/>
      <c r="K3" s="5"/>
      <c r="L3" s="5"/>
      <c r="M3" s="5"/>
      <c r="N3" s="10"/>
      <c r="O3" s="5"/>
    </row>
    <row r="4" spans="1:15" ht="16.5" thickBot="1">
      <c r="A4" s="5"/>
      <c r="B4" s="20"/>
      <c r="C4" s="624"/>
      <c r="D4" s="14"/>
      <c r="E4" s="616"/>
      <c r="F4" s="616"/>
      <c r="G4" s="616"/>
      <c r="H4" s="616"/>
      <c r="I4" s="5"/>
      <c r="J4" s="5"/>
      <c r="K4" s="5"/>
      <c r="L4" s="5"/>
      <c r="M4" s="5"/>
      <c r="N4" s="10"/>
      <c r="O4" s="5"/>
    </row>
    <row r="5" spans="1:15" ht="15.75" thickBot="1">
      <c r="A5" s="5"/>
      <c r="B5" s="16"/>
      <c r="C5" s="16"/>
      <c r="D5" s="16"/>
      <c r="E5" s="617" t="s">
        <v>77</v>
      </c>
      <c r="F5" s="617"/>
      <c r="G5" s="617"/>
      <c r="H5" s="617"/>
      <c r="I5" s="5"/>
      <c r="J5" s="5"/>
      <c r="K5" s="5"/>
      <c r="L5" s="5"/>
      <c r="M5" s="5"/>
      <c r="N5" s="10"/>
      <c r="O5" s="5"/>
    </row>
    <row r="6" spans="1:15" ht="15.75" thickBot="1">
      <c r="A6" s="5"/>
      <c r="B6" s="16"/>
      <c r="C6" s="16"/>
      <c r="D6" s="618" t="s">
        <v>39</v>
      </c>
      <c r="E6" s="619"/>
      <c r="F6" s="619"/>
      <c r="G6" s="619"/>
      <c r="H6" s="621"/>
      <c r="I6" s="618" t="s">
        <v>39</v>
      </c>
      <c r="J6" s="619"/>
      <c r="K6" s="619"/>
      <c r="L6" s="619"/>
      <c r="M6" s="620"/>
      <c r="N6" s="10"/>
      <c r="O6" s="5"/>
    </row>
    <row r="7" spans="1:15" ht="15.75" thickBot="1">
      <c r="A7" s="5"/>
      <c r="B7" s="81" t="s">
        <v>151</v>
      </c>
      <c r="C7" s="82"/>
      <c r="D7" s="11" t="s">
        <v>78</v>
      </c>
      <c r="E7" s="12" t="s">
        <v>79</v>
      </c>
      <c r="F7" s="11" t="s">
        <v>80</v>
      </c>
      <c r="G7" s="12" t="s">
        <v>81</v>
      </c>
      <c r="H7" s="11" t="s">
        <v>82</v>
      </c>
      <c r="I7" s="11" t="s">
        <v>580</v>
      </c>
      <c r="J7" s="11" t="s">
        <v>581</v>
      </c>
      <c r="K7" s="11" t="s">
        <v>582</v>
      </c>
      <c r="L7" s="11" t="s">
        <v>583</v>
      </c>
      <c r="M7" s="601" t="s">
        <v>584</v>
      </c>
      <c r="N7" s="10"/>
      <c r="O7" s="5"/>
    </row>
    <row r="8" spans="1:15">
      <c r="A8" s="5"/>
      <c r="B8" s="68" t="s">
        <v>152</v>
      </c>
      <c r="C8" s="46"/>
      <c r="D8" s="46"/>
      <c r="E8" s="21"/>
      <c r="F8" s="21"/>
      <c r="G8" s="21"/>
      <c r="H8" s="22"/>
      <c r="I8" s="22"/>
      <c r="J8" s="22"/>
      <c r="K8" s="22"/>
      <c r="L8" s="22"/>
      <c r="M8" s="22"/>
      <c r="N8" s="28"/>
      <c r="O8" s="5"/>
    </row>
    <row r="9" spans="1:15">
      <c r="A9" s="5"/>
      <c r="B9" s="61"/>
      <c r="C9" s="62" t="s">
        <v>153</v>
      </c>
      <c r="D9" s="47">
        <f>+'Cash Flow Statement'!E51</f>
        <v>2625893.9399999995</v>
      </c>
      <c r="E9" s="47">
        <f>+'Cash Flow Statement'!F51</f>
        <v>340149.93999999948</v>
      </c>
      <c r="F9" s="47">
        <f>+'Cash Flow Statement'!G51</f>
        <v>726485.93999999948</v>
      </c>
      <c r="G9" s="47">
        <f>+'Cash Flow Statement'!H51</f>
        <v>1234821.9399999995</v>
      </c>
      <c r="H9" s="47">
        <f>+'Cash Flow Statement'!I51</f>
        <v>1804721.9399999995</v>
      </c>
      <c r="I9" s="47">
        <f>+'Cash Flow Statement'!J51</f>
        <v>1959004.9399999995</v>
      </c>
      <c r="J9" s="47">
        <f>+'Cash Flow Statement'!K51</f>
        <v>2111886.9399999995</v>
      </c>
      <c r="K9" s="47">
        <f>+'Cash Flow Statement'!L51</f>
        <v>2263167.9399999995</v>
      </c>
      <c r="L9" s="47">
        <f>+'Cash Flow Statement'!M51</f>
        <v>2412647.9399999995</v>
      </c>
      <c r="M9" s="47">
        <f>+'Cash Flow Statement'!N51</f>
        <v>2560026.9399999995</v>
      </c>
      <c r="N9" s="597"/>
      <c r="O9" s="5"/>
    </row>
    <row r="10" spans="1:15">
      <c r="A10" s="5"/>
      <c r="B10" s="61"/>
      <c r="C10" s="62" t="s">
        <v>6</v>
      </c>
      <c r="D10" s="47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597"/>
      <c r="O10" s="5"/>
    </row>
    <row r="11" spans="1:15">
      <c r="A11" s="5"/>
      <c r="B11" s="61"/>
      <c r="C11" s="62" t="s">
        <v>91</v>
      </c>
      <c r="D11" s="47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597"/>
      <c r="O11" s="5"/>
    </row>
    <row r="12" spans="1:15">
      <c r="A12" s="5"/>
      <c r="B12" s="63"/>
      <c r="C12" s="64" t="s">
        <v>106</v>
      </c>
      <c r="D12" s="47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597"/>
      <c r="O12" s="5"/>
    </row>
    <row r="13" spans="1:15">
      <c r="A13" s="5"/>
      <c r="B13" s="63"/>
      <c r="C13" s="64" t="s">
        <v>92</v>
      </c>
      <c r="D13" s="47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597"/>
      <c r="O13" s="5"/>
    </row>
    <row r="14" spans="1:15">
      <c r="A14" s="5"/>
      <c r="B14" s="63"/>
      <c r="C14" s="64" t="s">
        <v>93</v>
      </c>
      <c r="D14" s="47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597"/>
      <c r="O14" s="5"/>
    </row>
    <row r="15" spans="1:15">
      <c r="A15" s="5"/>
      <c r="B15" s="63"/>
      <c r="C15" s="64" t="s">
        <v>7</v>
      </c>
      <c r="D15" s="48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597"/>
      <c r="O15" s="5"/>
    </row>
    <row r="16" spans="1:15">
      <c r="A16" s="5"/>
      <c r="B16" s="65"/>
      <c r="C16" s="66" t="s">
        <v>154</v>
      </c>
      <c r="D16" s="32">
        <f>SUM(D9:D15)</f>
        <v>2625893.9399999995</v>
      </c>
      <c r="E16" s="32">
        <f t="shared" ref="E16:H16" si="0">SUM(E9:E15)</f>
        <v>340149.93999999948</v>
      </c>
      <c r="F16" s="32">
        <f t="shared" si="0"/>
        <v>726485.93999999948</v>
      </c>
      <c r="G16" s="32">
        <f t="shared" si="0"/>
        <v>1234821.9399999995</v>
      </c>
      <c r="H16" s="32">
        <f t="shared" si="0"/>
        <v>1804721.9399999995</v>
      </c>
      <c r="I16" s="32">
        <f t="shared" ref="I16:M16" si="1">SUM(I9:I15)</f>
        <v>1959004.9399999995</v>
      </c>
      <c r="J16" s="32">
        <f t="shared" si="1"/>
        <v>2111886.9399999995</v>
      </c>
      <c r="K16" s="32">
        <f t="shared" si="1"/>
        <v>2263167.9399999995</v>
      </c>
      <c r="L16" s="32">
        <f t="shared" si="1"/>
        <v>2412647.9399999995</v>
      </c>
      <c r="M16" s="52">
        <f t="shared" si="1"/>
        <v>2560026.9399999995</v>
      </c>
      <c r="N16" s="51"/>
      <c r="O16" s="5"/>
    </row>
    <row r="17" spans="1:15">
      <c r="A17" s="5"/>
      <c r="B17" s="67"/>
      <c r="C17" s="46"/>
      <c r="D17" s="49"/>
      <c r="E17" s="29"/>
      <c r="F17" s="29"/>
      <c r="G17" s="29"/>
      <c r="H17" s="29"/>
      <c r="I17" s="29"/>
      <c r="J17" s="29"/>
      <c r="K17" s="29"/>
      <c r="L17" s="29"/>
      <c r="M17" s="29"/>
      <c r="N17" s="598"/>
      <c r="O17" s="5"/>
    </row>
    <row r="18" spans="1:15">
      <c r="A18" s="5"/>
      <c r="B18" s="68" t="s">
        <v>155</v>
      </c>
      <c r="C18" s="46"/>
      <c r="D18" s="49"/>
      <c r="E18" s="29"/>
      <c r="F18" s="29"/>
      <c r="G18" s="29"/>
      <c r="H18" s="29"/>
      <c r="I18" s="29"/>
      <c r="J18" s="29"/>
      <c r="K18" s="29"/>
      <c r="L18" s="29"/>
      <c r="M18" s="29"/>
      <c r="N18" s="598"/>
      <c r="O18" s="5"/>
    </row>
    <row r="19" spans="1:15">
      <c r="A19" s="5"/>
      <c r="B19" s="61"/>
      <c r="C19" s="62" t="s">
        <v>103</v>
      </c>
      <c r="D19" s="47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597"/>
      <c r="O19" s="5"/>
    </row>
    <row r="20" spans="1:15">
      <c r="A20" s="5"/>
      <c r="B20" s="63"/>
      <c r="C20" s="64" t="s">
        <v>102</v>
      </c>
      <c r="D20" s="47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597"/>
      <c r="O20" s="5"/>
    </row>
    <row r="21" spans="1:15">
      <c r="A21" s="5"/>
      <c r="B21" s="67"/>
      <c r="C21" s="46"/>
      <c r="D21" s="50"/>
      <c r="E21" s="30"/>
      <c r="F21" s="30"/>
      <c r="G21" s="30"/>
      <c r="H21" s="30"/>
      <c r="I21" s="30"/>
      <c r="J21" s="30"/>
      <c r="K21" s="30"/>
      <c r="L21" s="30"/>
      <c r="M21" s="30"/>
      <c r="N21" s="51"/>
      <c r="O21" s="5"/>
    </row>
    <row r="22" spans="1:15">
      <c r="A22" s="5"/>
      <c r="B22" s="61"/>
      <c r="C22" s="62" t="s">
        <v>25</v>
      </c>
      <c r="D22" s="47">
        <f>+'Depreciation Summary'!D29</f>
        <v>8100941.0600000005</v>
      </c>
      <c r="E22" s="47">
        <f>+'Depreciation Summary'!E29</f>
        <v>29397758.060000002</v>
      </c>
      <c r="F22" s="47">
        <f>+'Depreciation Summary'!F29</f>
        <v>29429422.060000002</v>
      </c>
      <c r="G22" s="47">
        <f>+'Depreciation Summary'!G29</f>
        <v>29461086.060000002</v>
      </c>
      <c r="H22" s="47">
        <f>+'Depreciation Summary'!H29</f>
        <v>29461086.060000002</v>
      </c>
      <c r="I22" s="47">
        <f>+'Depreciation Summary'!I29</f>
        <v>29461086.060000002</v>
      </c>
      <c r="J22" s="47">
        <f>+'Depreciation Summary'!J29</f>
        <v>29461086.060000002</v>
      </c>
      <c r="K22" s="47">
        <f>+'Depreciation Summary'!K29</f>
        <v>29461086.060000002</v>
      </c>
      <c r="L22" s="47">
        <f>+'Depreciation Summary'!L29</f>
        <v>29461086.060000002</v>
      </c>
      <c r="M22" s="47">
        <f>+'Depreciation Summary'!M29</f>
        <v>29461086.060000002</v>
      </c>
      <c r="N22" s="597"/>
      <c r="O22" s="5"/>
    </row>
    <row r="23" spans="1:15">
      <c r="A23" s="5"/>
      <c r="B23" s="69"/>
      <c r="C23" s="70" t="s">
        <v>26</v>
      </c>
      <c r="D23" s="48">
        <f>+'Depreciation Summary'!D30</f>
        <v>779049.71200000006</v>
      </c>
      <c r="E23" s="48">
        <f>+'Depreciation Summary'!E30</f>
        <v>3312122.0240000002</v>
      </c>
      <c r="F23" s="48">
        <f>+'Depreciation Summary'!F30</f>
        <v>5851527.1359999999</v>
      </c>
      <c r="G23" s="48">
        <f>+'Depreciation Summary'!G30</f>
        <v>8397265.0480000004</v>
      </c>
      <c r="H23" s="48">
        <f>+'Depreciation Summary'!H30</f>
        <v>10943002.960000001</v>
      </c>
      <c r="I23" s="48">
        <f>+'Depreciation Summary'!I30</f>
        <v>12990070.66</v>
      </c>
      <c r="J23" s="48">
        <f>+'Depreciation Summary'!J30</f>
        <v>14118229.359999999</v>
      </c>
      <c r="K23" s="48">
        <f>+'Depreciation Summary'!K30</f>
        <v>15240055.26</v>
      </c>
      <c r="L23" s="48">
        <f>+'Depreciation Summary'!L30</f>
        <v>16355548.359999999</v>
      </c>
      <c r="M23" s="48">
        <f>+'Depreciation Summary'!M30</f>
        <v>17471041.460000001</v>
      </c>
      <c r="N23" s="597"/>
      <c r="O23" s="5"/>
    </row>
    <row r="24" spans="1:15">
      <c r="A24" s="5"/>
      <c r="B24" s="67"/>
      <c r="C24" s="71" t="s">
        <v>27</v>
      </c>
      <c r="D24" s="370">
        <f>+D22-D23</f>
        <v>7321891.3480000002</v>
      </c>
      <c r="E24" s="371">
        <f t="shared" ref="E24:H24" si="2">+E22-E23</f>
        <v>26085636.036000002</v>
      </c>
      <c r="F24" s="371">
        <f t="shared" si="2"/>
        <v>23577894.924000002</v>
      </c>
      <c r="G24" s="371">
        <f t="shared" si="2"/>
        <v>21063821.012000002</v>
      </c>
      <c r="H24" s="372">
        <f t="shared" si="2"/>
        <v>18518083.100000001</v>
      </c>
      <c r="I24" s="372">
        <f t="shared" ref="I24:M24" si="3">+I22-I23</f>
        <v>16471015.400000002</v>
      </c>
      <c r="J24" s="372">
        <f t="shared" si="3"/>
        <v>15342856.700000003</v>
      </c>
      <c r="K24" s="372">
        <f t="shared" si="3"/>
        <v>14221030.800000003</v>
      </c>
      <c r="L24" s="372">
        <f t="shared" si="3"/>
        <v>13105537.700000003</v>
      </c>
      <c r="M24" s="372">
        <f t="shared" si="3"/>
        <v>11990044.600000001</v>
      </c>
      <c r="N24" s="51"/>
      <c r="O24" s="5"/>
    </row>
    <row r="25" spans="1:15">
      <c r="A25" s="5"/>
      <c r="B25" s="61"/>
      <c r="C25" s="31" t="s">
        <v>28</v>
      </c>
      <c r="D25" s="47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597"/>
      <c r="O25" s="5"/>
    </row>
    <row r="26" spans="1:15">
      <c r="A26" s="5"/>
      <c r="B26" s="67"/>
      <c r="C26" s="46"/>
      <c r="D26" s="52"/>
      <c r="E26" s="27"/>
      <c r="F26" s="32"/>
      <c r="G26" s="27"/>
      <c r="H26" s="27"/>
      <c r="I26" s="27"/>
      <c r="J26" s="27"/>
      <c r="K26" s="27"/>
      <c r="L26" s="27"/>
      <c r="M26" s="27"/>
      <c r="N26" s="51"/>
      <c r="O26" s="5"/>
    </row>
    <row r="27" spans="1:15">
      <c r="A27" s="5"/>
      <c r="B27" s="65"/>
      <c r="C27" s="66" t="s">
        <v>29</v>
      </c>
      <c r="D27" s="53">
        <f>+D19+D20+D24+D25</f>
        <v>7321891.3480000002</v>
      </c>
      <c r="E27" s="53">
        <f t="shared" ref="E27:H27" si="4">+E19+E20+E24+E25</f>
        <v>26085636.036000002</v>
      </c>
      <c r="F27" s="53">
        <f t="shared" si="4"/>
        <v>23577894.924000002</v>
      </c>
      <c r="G27" s="53">
        <f t="shared" si="4"/>
        <v>21063821.012000002</v>
      </c>
      <c r="H27" s="53">
        <f t="shared" si="4"/>
        <v>18518083.100000001</v>
      </c>
      <c r="I27" s="53">
        <f t="shared" ref="I27:M27" si="5">+I19+I20+I24+I25</f>
        <v>16471015.400000002</v>
      </c>
      <c r="J27" s="53">
        <f t="shared" si="5"/>
        <v>15342856.700000003</v>
      </c>
      <c r="K27" s="53">
        <f t="shared" si="5"/>
        <v>14221030.800000003</v>
      </c>
      <c r="L27" s="53">
        <f t="shared" si="5"/>
        <v>13105537.700000003</v>
      </c>
      <c r="M27" s="602">
        <f t="shared" si="5"/>
        <v>11990044.600000001</v>
      </c>
      <c r="N27" s="51"/>
      <c r="O27" s="5"/>
    </row>
    <row r="28" spans="1:15">
      <c r="A28" s="5"/>
      <c r="B28" s="67"/>
      <c r="C28" s="71"/>
      <c r="D28" s="50"/>
      <c r="E28" s="30"/>
      <c r="F28" s="35"/>
      <c r="G28" s="30"/>
      <c r="H28" s="30"/>
      <c r="I28" s="30"/>
      <c r="J28" s="30"/>
      <c r="K28" s="30"/>
      <c r="L28" s="30"/>
      <c r="M28" s="30"/>
      <c r="N28" s="51"/>
      <c r="O28" s="5"/>
    </row>
    <row r="29" spans="1:15" ht="15.75" thickBot="1">
      <c r="A29" s="5"/>
      <c r="B29" s="72"/>
      <c r="C29" s="73" t="s">
        <v>30</v>
      </c>
      <c r="D29" s="54">
        <f>+D27+D16</f>
        <v>9947785.2879999988</v>
      </c>
      <c r="E29" s="37">
        <f t="shared" ref="E29:H29" si="6">+E27+E16</f>
        <v>26425785.976000004</v>
      </c>
      <c r="F29" s="37">
        <f t="shared" si="6"/>
        <v>24304380.864</v>
      </c>
      <c r="G29" s="37">
        <f t="shared" si="6"/>
        <v>22298642.952</v>
      </c>
      <c r="H29" s="38">
        <f t="shared" si="6"/>
        <v>20322805.039999999</v>
      </c>
      <c r="I29" s="38">
        <f t="shared" ref="I29:M29" si="7">+I27+I16</f>
        <v>18430020.340000004</v>
      </c>
      <c r="J29" s="38">
        <f t="shared" si="7"/>
        <v>17454743.640000001</v>
      </c>
      <c r="K29" s="38">
        <f t="shared" si="7"/>
        <v>16484198.740000002</v>
      </c>
      <c r="L29" s="38">
        <f t="shared" si="7"/>
        <v>15518185.640000002</v>
      </c>
      <c r="M29" s="38">
        <f t="shared" si="7"/>
        <v>14550071.540000001</v>
      </c>
      <c r="N29" s="51"/>
      <c r="O29" s="5"/>
    </row>
    <row r="30" spans="1:15" ht="16.5" thickTop="1" thickBot="1">
      <c r="A30" s="5"/>
      <c r="B30" s="67"/>
      <c r="C30" s="74"/>
      <c r="D30" s="16"/>
      <c r="E30" s="16"/>
      <c r="F30" s="16"/>
      <c r="G30" s="16"/>
      <c r="H30" s="83"/>
      <c r="I30" s="83"/>
      <c r="J30" s="83"/>
      <c r="K30" s="83"/>
      <c r="L30" s="83"/>
      <c r="M30" s="83"/>
      <c r="N30" s="28"/>
      <c r="O30" s="5"/>
    </row>
    <row r="31" spans="1:15" ht="15.75" thickBot="1">
      <c r="A31" s="5"/>
      <c r="B31" s="75" t="s">
        <v>31</v>
      </c>
      <c r="C31" s="46"/>
      <c r="D31" s="55" t="s">
        <v>78</v>
      </c>
      <c r="E31" s="39" t="s">
        <v>79</v>
      </c>
      <c r="F31" s="40" t="s">
        <v>80</v>
      </c>
      <c r="G31" s="40" t="s">
        <v>81</v>
      </c>
      <c r="H31" s="41" t="s">
        <v>82</v>
      </c>
      <c r="I31" s="41" t="s">
        <v>580</v>
      </c>
      <c r="J31" s="41" t="s">
        <v>581</v>
      </c>
      <c r="K31" s="41" t="s">
        <v>582</v>
      </c>
      <c r="L31" s="41" t="s">
        <v>583</v>
      </c>
      <c r="M31" s="40" t="s">
        <v>584</v>
      </c>
      <c r="N31" s="599"/>
      <c r="O31" s="5"/>
    </row>
    <row r="32" spans="1:15">
      <c r="A32" s="5"/>
      <c r="B32" s="18" t="s">
        <v>32</v>
      </c>
      <c r="C32" s="46"/>
      <c r="D32" s="50"/>
      <c r="E32" s="30"/>
      <c r="F32" s="21"/>
      <c r="G32" s="21"/>
      <c r="H32" s="22"/>
      <c r="I32" s="22"/>
      <c r="J32" s="22"/>
      <c r="K32" s="22"/>
      <c r="L32" s="22"/>
      <c r="M32" s="22"/>
      <c r="N32" s="28"/>
      <c r="O32" s="5"/>
    </row>
    <row r="33" spans="1:15">
      <c r="A33" s="5"/>
      <c r="B33" s="67"/>
      <c r="C33" s="76"/>
      <c r="D33" s="56"/>
      <c r="E33" s="42"/>
      <c r="F33" s="42"/>
      <c r="G33" s="42"/>
      <c r="H33" s="42"/>
      <c r="I33" s="42"/>
      <c r="J33" s="42"/>
      <c r="K33" s="42"/>
      <c r="L33" s="42"/>
      <c r="M33" s="42"/>
      <c r="N33" s="600"/>
      <c r="O33" s="5"/>
    </row>
    <row r="34" spans="1:15">
      <c r="A34" s="5"/>
      <c r="B34" s="68" t="s">
        <v>33</v>
      </c>
      <c r="C34" s="46"/>
      <c r="D34" s="46"/>
      <c r="E34" s="21"/>
      <c r="F34" s="21"/>
      <c r="G34" s="21"/>
      <c r="H34" s="21"/>
      <c r="I34" s="21"/>
      <c r="J34" s="21"/>
      <c r="K34" s="21"/>
      <c r="L34" s="21"/>
      <c r="M34" s="21"/>
      <c r="N34" s="28"/>
      <c r="O34" s="5"/>
    </row>
    <row r="35" spans="1:15">
      <c r="A35" s="5"/>
      <c r="B35" s="61"/>
      <c r="C35" s="62" t="s">
        <v>97</v>
      </c>
      <c r="D35" s="47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597"/>
      <c r="O35" s="5"/>
    </row>
    <row r="36" spans="1:15">
      <c r="A36" s="5"/>
      <c r="B36" s="63"/>
      <c r="C36" s="64" t="s">
        <v>107</v>
      </c>
      <c r="D36" s="47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597"/>
      <c r="O36" s="5"/>
    </row>
    <row r="37" spans="1:15">
      <c r="A37" s="5"/>
      <c r="B37" s="63"/>
      <c r="C37" s="64" t="s">
        <v>158</v>
      </c>
      <c r="D37" s="47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597"/>
      <c r="O37" s="5"/>
    </row>
    <row r="38" spans="1:15">
      <c r="A38" s="5"/>
      <c r="B38" s="63"/>
      <c r="C38" s="64" t="s">
        <v>159</v>
      </c>
      <c r="D38" s="47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597"/>
      <c r="O38" s="5"/>
    </row>
    <row r="39" spans="1:15">
      <c r="A39" s="5"/>
      <c r="B39" s="63"/>
      <c r="C39" s="64" t="s">
        <v>98</v>
      </c>
      <c r="D39" s="57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  <c r="N39" s="597"/>
      <c r="O39" s="5"/>
    </row>
    <row r="40" spans="1:15">
      <c r="A40" s="5"/>
      <c r="B40" s="65"/>
      <c r="C40" s="66" t="s">
        <v>35</v>
      </c>
      <c r="D40" s="53">
        <f>SUM(D35:D39)</f>
        <v>0</v>
      </c>
      <c r="E40" s="33">
        <f t="shared" ref="E40:H40" si="8">SUM(E35:E39)</f>
        <v>0</v>
      </c>
      <c r="F40" s="33">
        <f t="shared" si="8"/>
        <v>0</v>
      </c>
      <c r="G40" s="33">
        <f t="shared" si="8"/>
        <v>0</v>
      </c>
      <c r="H40" s="34">
        <f t="shared" si="8"/>
        <v>0</v>
      </c>
      <c r="I40" s="34">
        <f t="shared" ref="I40:M40" si="9">SUM(I35:I39)</f>
        <v>0</v>
      </c>
      <c r="J40" s="34">
        <f t="shared" si="9"/>
        <v>0</v>
      </c>
      <c r="K40" s="34">
        <f t="shared" si="9"/>
        <v>0</v>
      </c>
      <c r="L40" s="34">
        <f t="shared" si="9"/>
        <v>0</v>
      </c>
      <c r="M40" s="34">
        <f t="shared" si="9"/>
        <v>0</v>
      </c>
      <c r="N40" s="51"/>
      <c r="O40" s="5"/>
    </row>
    <row r="41" spans="1:15">
      <c r="A41" s="5"/>
      <c r="B41" s="67"/>
      <c r="C41" s="46"/>
      <c r="D41" s="46"/>
      <c r="E41" s="21"/>
      <c r="F41" s="21"/>
      <c r="G41" s="21"/>
      <c r="H41" s="21"/>
      <c r="I41" s="21"/>
      <c r="J41" s="21"/>
      <c r="K41" s="21"/>
      <c r="L41" s="21"/>
      <c r="M41" s="21"/>
      <c r="N41" s="28"/>
      <c r="O41" s="5"/>
    </row>
    <row r="42" spans="1:15">
      <c r="A42" s="5"/>
      <c r="B42" s="68" t="s">
        <v>292</v>
      </c>
      <c r="C42" s="46"/>
      <c r="D42" s="46"/>
      <c r="E42" s="21"/>
      <c r="F42" s="21"/>
      <c r="G42" s="21"/>
      <c r="H42" s="21"/>
      <c r="I42" s="21"/>
      <c r="J42" s="21"/>
      <c r="K42" s="21"/>
      <c r="L42" s="21"/>
      <c r="M42" s="21"/>
      <c r="N42" s="28"/>
      <c r="O42" s="5"/>
    </row>
    <row r="43" spans="1:15">
      <c r="A43" s="5"/>
      <c r="B43" s="123"/>
      <c r="C43" s="124" t="s">
        <v>293</v>
      </c>
      <c r="D43" s="47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597"/>
      <c r="O43" s="5"/>
    </row>
    <row r="44" spans="1:15">
      <c r="A44" s="5"/>
      <c r="B44" s="61"/>
      <c r="C44" s="62" t="s">
        <v>294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597"/>
      <c r="O44" s="5"/>
    </row>
    <row r="45" spans="1:15">
      <c r="A45" s="5"/>
      <c r="B45" s="63"/>
      <c r="C45" s="64" t="s">
        <v>295</v>
      </c>
      <c r="D45" s="47">
        <f>+'Loan Yr 3'!B41+'Loan Yr 4'!B41+'Loan Yr 5'!B41+'Loan Yr 2'!B41</f>
        <v>0</v>
      </c>
      <c r="E45" s="47">
        <f>+'Loan Yr 3'!C41+'Loan Yr 4'!C41+'Loan Yr 5'!C41+'Loan Yr 2'!C41</f>
        <v>0</v>
      </c>
      <c r="F45" s="47">
        <f>+'Loan Yr 3'!D41+'Loan Yr 4'!D41+'Loan Yr 5'!D41+'Loan Yr 2'!D41</f>
        <v>0</v>
      </c>
      <c r="G45" s="47">
        <f>+'Loan Yr 3'!E41+'Loan Yr 4'!E41+'Loan Yr 5'!E41+'Loan Yr 2'!E41</f>
        <v>0</v>
      </c>
      <c r="H45" s="47">
        <f>+'Loan Yr 3'!F41+'Loan Yr 4'!F41+'Loan Yr 5'!F41+'Loan Yr 2'!F41</f>
        <v>0</v>
      </c>
      <c r="I45" s="47">
        <f>+'Loan Yr 3'!G41+'Loan Yr 4'!G41+'Loan Yr 5'!G41+'Loan Yr 2'!G41</f>
        <v>0</v>
      </c>
      <c r="J45" s="47">
        <f>+'Loan Yr 3'!H41+'Loan Yr 4'!H41+'Loan Yr 5'!H41+'Loan Yr 2'!H41</f>
        <v>0</v>
      </c>
      <c r="K45" s="47">
        <f>+'Loan Yr 3'!I41+'Loan Yr 4'!I41+'Loan Yr 5'!I41+'Loan Yr 2'!I41</f>
        <v>0</v>
      </c>
      <c r="L45" s="47">
        <f>+'Loan Yr 3'!J41+'Loan Yr 4'!J41+'Loan Yr 5'!J41+'Loan Yr 2'!J41</f>
        <v>0</v>
      </c>
      <c r="M45" s="47">
        <f>+'Loan Yr 3'!K41+'Loan Yr 4'!K41+'Loan Yr 5'!K41+'Loan Yr 2'!K41</f>
        <v>0</v>
      </c>
      <c r="N45" s="597"/>
      <c r="O45" s="5"/>
    </row>
    <row r="46" spans="1:15">
      <c r="A46" s="5"/>
      <c r="B46" s="61"/>
      <c r="C46" s="62" t="s">
        <v>294</v>
      </c>
      <c r="D46" s="47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597"/>
      <c r="O46" s="5"/>
    </row>
    <row r="47" spans="1:15">
      <c r="A47" s="5"/>
      <c r="B47" s="65"/>
      <c r="C47" s="66" t="s">
        <v>36</v>
      </c>
      <c r="D47" s="32">
        <f>SUM(D43:D46)</f>
        <v>0</v>
      </c>
      <c r="E47" s="26">
        <f t="shared" ref="E47:H47" si="10">SUM(E43:E46)</f>
        <v>0</v>
      </c>
      <c r="F47" s="26">
        <f t="shared" si="10"/>
        <v>0</v>
      </c>
      <c r="G47" s="26">
        <f t="shared" si="10"/>
        <v>0</v>
      </c>
      <c r="H47" s="27">
        <f t="shared" si="10"/>
        <v>0</v>
      </c>
      <c r="I47" s="27">
        <f t="shared" ref="I47:M47" si="11">SUM(I43:I46)</f>
        <v>0</v>
      </c>
      <c r="J47" s="27">
        <f t="shared" si="11"/>
        <v>0</v>
      </c>
      <c r="K47" s="27">
        <f t="shared" si="11"/>
        <v>0</v>
      </c>
      <c r="L47" s="27">
        <f t="shared" si="11"/>
        <v>0</v>
      </c>
      <c r="M47" s="27">
        <f t="shared" si="11"/>
        <v>0</v>
      </c>
      <c r="N47" s="51"/>
      <c r="O47" s="5"/>
    </row>
    <row r="48" spans="1:15">
      <c r="A48" s="5"/>
      <c r="B48" s="67"/>
      <c r="C48" s="71"/>
      <c r="D48" s="46"/>
      <c r="E48" s="21"/>
      <c r="F48" s="21"/>
      <c r="G48" s="21"/>
      <c r="H48" s="21"/>
      <c r="I48" s="21"/>
      <c r="J48" s="21"/>
      <c r="K48" s="21"/>
      <c r="L48" s="21"/>
      <c r="M48" s="21"/>
      <c r="N48" s="28"/>
      <c r="O48" s="5"/>
    </row>
    <row r="49" spans="1:15">
      <c r="A49" s="5"/>
      <c r="B49" s="65"/>
      <c r="C49" s="77" t="s">
        <v>37</v>
      </c>
      <c r="D49" s="53">
        <f>+D47+D40</f>
        <v>0</v>
      </c>
      <c r="E49" s="33">
        <f t="shared" ref="E49:H49" si="12">+E47+E40</f>
        <v>0</v>
      </c>
      <c r="F49" s="33">
        <f t="shared" si="12"/>
        <v>0</v>
      </c>
      <c r="G49" s="33">
        <f t="shared" si="12"/>
        <v>0</v>
      </c>
      <c r="H49" s="34">
        <f t="shared" si="12"/>
        <v>0</v>
      </c>
      <c r="I49" s="34">
        <f t="shared" ref="I49:M49" si="13">+I47+I40</f>
        <v>0</v>
      </c>
      <c r="J49" s="34">
        <f t="shared" si="13"/>
        <v>0</v>
      </c>
      <c r="K49" s="34">
        <f t="shared" si="13"/>
        <v>0</v>
      </c>
      <c r="L49" s="34">
        <f t="shared" si="13"/>
        <v>0</v>
      </c>
      <c r="M49" s="34">
        <f t="shared" si="13"/>
        <v>0</v>
      </c>
      <c r="N49" s="51"/>
      <c r="O49" s="5"/>
    </row>
    <row r="50" spans="1:15">
      <c r="A50" s="5"/>
      <c r="B50" s="67"/>
      <c r="C50" s="46"/>
      <c r="D50" s="46"/>
      <c r="E50" s="21"/>
      <c r="F50" s="21"/>
      <c r="G50" s="21"/>
      <c r="H50" s="21"/>
      <c r="I50" s="21"/>
      <c r="J50" s="21"/>
      <c r="K50" s="21"/>
      <c r="L50" s="21"/>
      <c r="M50" s="21"/>
      <c r="N50" s="28"/>
      <c r="O50" s="5"/>
    </row>
    <row r="51" spans="1:15">
      <c r="A51" s="5"/>
      <c r="B51" s="18" t="s">
        <v>162</v>
      </c>
      <c r="C51" s="46"/>
      <c r="D51" s="46"/>
      <c r="E51" s="21"/>
      <c r="F51" s="21"/>
      <c r="G51" s="21"/>
      <c r="H51" s="21"/>
      <c r="I51" s="21"/>
      <c r="J51" s="21"/>
      <c r="K51" s="21"/>
      <c r="L51" s="21"/>
      <c r="M51" s="21"/>
      <c r="N51" s="28"/>
      <c r="O51" s="5"/>
    </row>
    <row r="52" spans="1:15">
      <c r="A52" s="5"/>
      <c r="B52" s="61"/>
      <c r="C52" s="62" t="s">
        <v>163</v>
      </c>
      <c r="D52" s="58">
        <f>+D58-D49</f>
        <v>9947785.2879999988</v>
      </c>
      <c r="E52" s="44">
        <f t="shared" ref="E52:H52" si="14">+E58-E49</f>
        <v>26425785.976000004</v>
      </c>
      <c r="F52" s="44">
        <f t="shared" si="14"/>
        <v>24304380.864</v>
      </c>
      <c r="G52" s="44">
        <f t="shared" si="14"/>
        <v>22298642.952</v>
      </c>
      <c r="H52" s="23">
        <f t="shared" si="14"/>
        <v>20322805.039999999</v>
      </c>
      <c r="I52" s="23">
        <f t="shared" ref="I52:M52" si="15">+I58-I49</f>
        <v>18430020.340000004</v>
      </c>
      <c r="J52" s="23">
        <f t="shared" si="15"/>
        <v>17454743.640000001</v>
      </c>
      <c r="K52" s="23">
        <f t="shared" si="15"/>
        <v>16484198.740000002</v>
      </c>
      <c r="L52" s="23">
        <f t="shared" si="15"/>
        <v>15518185.640000002</v>
      </c>
      <c r="M52" s="23">
        <f t="shared" si="15"/>
        <v>14550071.540000001</v>
      </c>
      <c r="N52" s="597"/>
      <c r="O52" s="5"/>
    </row>
    <row r="53" spans="1:15">
      <c r="A53" s="5"/>
      <c r="B53" s="63"/>
      <c r="C53" s="64" t="s">
        <v>164</v>
      </c>
      <c r="D53" s="58">
        <v>0</v>
      </c>
      <c r="E53" s="44">
        <v>0</v>
      </c>
      <c r="F53" s="44">
        <v>0</v>
      </c>
      <c r="G53" s="44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597"/>
      <c r="O53" s="5"/>
    </row>
    <row r="54" spans="1:15">
      <c r="A54" s="5"/>
      <c r="B54" s="63"/>
      <c r="C54" s="64" t="s">
        <v>165</v>
      </c>
      <c r="D54" s="58">
        <v>0</v>
      </c>
      <c r="E54" s="44">
        <v>0</v>
      </c>
      <c r="F54" s="44">
        <v>0</v>
      </c>
      <c r="G54" s="44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597"/>
      <c r="O54" s="5"/>
    </row>
    <row r="55" spans="1:15">
      <c r="A55" s="5"/>
      <c r="B55" s="67"/>
      <c r="C55" s="46" t="s">
        <v>166</v>
      </c>
      <c r="D55" s="58">
        <v>0</v>
      </c>
      <c r="E55" s="44">
        <v>0</v>
      </c>
      <c r="F55" s="44">
        <v>0</v>
      </c>
      <c r="G55" s="44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597"/>
      <c r="O55" s="5"/>
    </row>
    <row r="56" spans="1:15">
      <c r="A56" s="5"/>
      <c r="B56" s="78"/>
      <c r="C56" s="77" t="s">
        <v>167</v>
      </c>
      <c r="D56" s="51">
        <f>SUM(D52:D55)</f>
        <v>9947785.2879999988</v>
      </c>
      <c r="E56" s="51">
        <f t="shared" ref="E56:H56" si="16">SUM(E52:E55)</f>
        <v>26425785.976000004</v>
      </c>
      <c r="F56" s="51">
        <f t="shared" si="16"/>
        <v>24304380.864</v>
      </c>
      <c r="G56" s="51">
        <f t="shared" si="16"/>
        <v>22298642.952</v>
      </c>
      <c r="H56" s="51">
        <f t="shared" si="16"/>
        <v>20322805.039999999</v>
      </c>
      <c r="I56" s="51">
        <f t="shared" ref="I56:M56" si="17">SUM(I52:I55)</f>
        <v>18430020.340000004</v>
      </c>
      <c r="J56" s="51">
        <f t="shared" si="17"/>
        <v>17454743.640000001</v>
      </c>
      <c r="K56" s="51">
        <f t="shared" si="17"/>
        <v>16484198.740000002</v>
      </c>
      <c r="L56" s="51">
        <f t="shared" si="17"/>
        <v>15518185.640000002</v>
      </c>
      <c r="M56" s="50">
        <f t="shared" si="17"/>
        <v>14550071.540000001</v>
      </c>
      <c r="N56" s="51"/>
      <c r="O56" s="5"/>
    </row>
    <row r="57" spans="1:15">
      <c r="A57" s="5"/>
      <c r="B57" s="79"/>
      <c r="C57" s="80"/>
      <c r="D57" s="59"/>
      <c r="E57" s="45"/>
      <c r="F57" s="25"/>
      <c r="G57" s="45"/>
      <c r="H57" s="45"/>
      <c r="I57" s="45"/>
      <c r="J57" s="45"/>
      <c r="K57" s="45"/>
      <c r="L57" s="45"/>
      <c r="M57" s="45"/>
      <c r="N57" s="28"/>
      <c r="O57" s="5"/>
    </row>
    <row r="58" spans="1:15" ht="15.75" thickBot="1">
      <c r="A58" s="5"/>
      <c r="B58" s="84"/>
      <c r="C58" s="36" t="s">
        <v>168</v>
      </c>
      <c r="D58" s="37">
        <f>+D29</f>
        <v>9947785.2879999988</v>
      </c>
      <c r="E58" s="37">
        <f t="shared" ref="E58:H58" si="18">+E29</f>
        <v>26425785.976000004</v>
      </c>
      <c r="F58" s="37">
        <f t="shared" si="18"/>
        <v>24304380.864</v>
      </c>
      <c r="G58" s="37">
        <f t="shared" si="18"/>
        <v>22298642.952</v>
      </c>
      <c r="H58" s="38">
        <f t="shared" si="18"/>
        <v>20322805.039999999</v>
      </c>
      <c r="I58" s="38">
        <f t="shared" ref="I58:M58" si="19">+I29</f>
        <v>18430020.340000004</v>
      </c>
      <c r="J58" s="38">
        <f t="shared" si="19"/>
        <v>17454743.640000001</v>
      </c>
      <c r="K58" s="38">
        <f t="shared" si="19"/>
        <v>16484198.740000002</v>
      </c>
      <c r="L58" s="38">
        <f t="shared" si="19"/>
        <v>15518185.640000002</v>
      </c>
      <c r="M58" s="38">
        <f t="shared" si="19"/>
        <v>14550071.540000001</v>
      </c>
      <c r="N58" s="51"/>
      <c r="O58" s="5"/>
    </row>
    <row r="59" spans="1:15" ht="15.75" thickTop="1">
      <c r="A59" s="5"/>
      <c r="B59" s="16"/>
      <c r="C59" s="16"/>
      <c r="D59" s="16"/>
      <c r="E59" s="16"/>
      <c r="F59" s="16"/>
      <c r="G59" s="16"/>
      <c r="H59" s="16"/>
      <c r="I59" s="5"/>
      <c r="J59" s="5"/>
      <c r="K59" s="5"/>
      <c r="L59" s="5"/>
      <c r="M59" s="5"/>
      <c r="N59" s="10"/>
      <c r="O59" s="5"/>
    </row>
    <row r="60" spans="1: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0"/>
      <c r="O60" s="5"/>
    </row>
    <row r="61" spans="1: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0"/>
      <c r="O61" s="5"/>
    </row>
    <row r="62" spans="1: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0"/>
      <c r="O62" s="5"/>
    </row>
    <row r="63" spans="1: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0"/>
      <c r="O63" s="5"/>
    </row>
    <row r="64" spans="1: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0"/>
      <c r="O64" s="5"/>
    </row>
    <row r="65" spans="1: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0"/>
      <c r="O65" s="5"/>
    </row>
    <row r="66" spans="1: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0"/>
      <c r="O66" s="5"/>
    </row>
    <row r="67" spans="1: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0"/>
      <c r="O67" s="5"/>
    </row>
    <row r="68" spans="1: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0"/>
      <c r="O68" s="5"/>
    </row>
    <row r="69" spans="1: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0"/>
      <c r="O69" s="5"/>
    </row>
    <row r="70" spans="1: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0"/>
      <c r="O70" s="5"/>
    </row>
    <row r="71" spans="1: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0"/>
      <c r="O71" s="5"/>
    </row>
    <row r="72" spans="1: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0"/>
      <c r="O72" s="5"/>
    </row>
    <row r="73" spans="1: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0"/>
      <c r="O73" s="5"/>
    </row>
    <row r="74" spans="1: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0"/>
      <c r="O74" s="5"/>
    </row>
    <row r="75" spans="1: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0"/>
      <c r="O75" s="5"/>
    </row>
    <row r="76" spans="1: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0"/>
      <c r="O76" s="5"/>
    </row>
    <row r="77" spans="1: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0"/>
      <c r="O77" s="5"/>
    </row>
    <row r="78" spans="1: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0"/>
      <c r="O78" s="5"/>
    </row>
    <row r="79" spans="1: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0"/>
      <c r="O79" s="5"/>
    </row>
    <row r="80" spans="1: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0"/>
      <c r="O80" s="5"/>
    </row>
    <row r="81" spans="1: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0"/>
      <c r="O81" s="5"/>
    </row>
    <row r="82" spans="1: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0"/>
      <c r="O82" s="5"/>
    </row>
    <row r="83" spans="1: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0"/>
      <c r="O83" s="5"/>
    </row>
    <row r="84" spans="1: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0"/>
      <c r="O84" s="5"/>
    </row>
    <row r="85" spans="1: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0"/>
      <c r="O85" s="5"/>
    </row>
    <row r="86" spans="1: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0"/>
      <c r="O86" s="5"/>
    </row>
    <row r="87" spans="1:15">
      <c r="A87" s="5"/>
    </row>
    <row r="88" spans="1:15">
      <c r="A88" s="5"/>
    </row>
    <row r="89" spans="1:15">
      <c r="A89" s="5"/>
    </row>
    <row r="90" spans="1:15">
      <c r="A90" s="5"/>
    </row>
    <row r="91" spans="1:15">
      <c r="A91" s="5"/>
    </row>
    <row r="92" spans="1:15">
      <c r="A92" s="5"/>
    </row>
    <row r="93" spans="1:15">
      <c r="A93" s="5"/>
    </row>
    <row r="94" spans="1:15">
      <c r="A94" s="5"/>
    </row>
    <row r="95" spans="1:15">
      <c r="A95" s="5"/>
    </row>
    <row r="96" spans="1:15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  <row r="117" spans="1:1">
      <c r="A117" s="5"/>
    </row>
    <row r="118" spans="1:1">
      <c r="A118" s="5"/>
    </row>
    <row r="119" spans="1:1">
      <c r="A119" s="5"/>
    </row>
    <row r="120" spans="1:1">
      <c r="A120" s="5"/>
    </row>
    <row r="121" spans="1:1">
      <c r="A121" s="5"/>
    </row>
    <row r="122" spans="1:1">
      <c r="A122" s="5"/>
    </row>
    <row r="123" spans="1:1">
      <c r="A123" s="5"/>
    </row>
    <row r="124" spans="1:1">
      <c r="A124" s="5"/>
    </row>
    <row r="125" spans="1:1">
      <c r="A125" s="5"/>
    </row>
    <row r="126" spans="1:1">
      <c r="A126" s="5"/>
    </row>
    <row r="127" spans="1:1">
      <c r="A127" s="5"/>
    </row>
    <row r="128" spans="1:1">
      <c r="A128" s="5"/>
    </row>
    <row r="129" spans="1:1">
      <c r="A129" s="5"/>
    </row>
    <row r="130" spans="1:1">
      <c r="A130" s="5"/>
    </row>
    <row r="131" spans="1:1">
      <c r="A131" s="5"/>
    </row>
    <row r="132" spans="1:1">
      <c r="A132" s="5"/>
    </row>
    <row r="133" spans="1:1">
      <c r="A133" s="5"/>
    </row>
    <row r="134" spans="1:1">
      <c r="A134" s="5"/>
    </row>
    <row r="135" spans="1:1">
      <c r="A135" s="5"/>
    </row>
    <row r="136" spans="1:1">
      <c r="A136" s="5"/>
    </row>
    <row r="137" spans="1:1">
      <c r="A137" s="5"/>
    </row>
    <row r="138" spans="1:1">
      <c r="A138" s="5"/>
    </row>
    <row r="139" spans="1:1">
      <c r="A139" s="5"/>
    </row>
    <row r="140" spans="1:1">
      <c r="A140" s="5"/>
    </row>
    <row r="141" spans="1:1">
      <c r="A141" s="5"/>
    </row>
    <row r="142" spans="1:1">
      <c r="A142" s="5"/>
    </row>
    <row r="143" spans="1:1">
      <c r="A143" s="5"/>
    </row>
    <row r="144" spans="1:1">
      <c r="A144" s="5"/>
    </row>
    <row r="145" spans="1:1">
      <c r="A145" s="5"/>
    </row>
    <row r="146" spans="1:1">
      <c r="A146" s="5"/>
    </row>
    <row r="147" spans="1:1">
      <c r="A147" s="5"/>
    </row>
    <row r="148" spans="1:1">
      <c r="A148" s="5"/>
    </row>
    <row r="149" spans="1:1">
      <c r="A149" s="5"/>
    </row>
    <row r="150" spans="1:1">
      <c r="A150" s="5"/>
    </row>
    <row r="151" spans="1:1">
      <c r="A151" s="5"/>
    </row>
    <row r="152" spans="1:1">
      <c r="A152" s="5"/>
    </row>
    <row r="153" spans="1:1">
      <c r="A153" s="5"/>
    </row>
    <row r="154" spans="1:1">
      <c r="A154" s="5"/>
    </row>
    <row r="155" spans="1:1">
      <c r="A155" s="5"/>
    </row>
    <row r="156" spans="1:1">
      <c r="A156" s="5"/>
    </row>
    <row r="157" spans="1:1">
      <c r="A157" s="5"/>
    </row>
    <row r="158" spans="1:1">
      <c r="A158" s="5"/>
    </row>
    <row r="159" spans="1:1">
      <c r="A159" s="5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5"/>
    </row>
    <row r="165" spans="1:1">
      <c r="A165" s="5"/>
    </row>
    <row r="166" spans="1:1">
      <c r="A166" s="5"/>
    </row>
    <row r="167" spans="1:1">
      <c r="A167" s="5"/>
    </row>
    <row r="168" spans="1:1">
      <c r="A168" s="5"/>
    </row>
    <row r="169" spans="1:1">
      <c r="A169" s="5"/>
    </row>
    <row r="170" spans="1:1">
      <c r="A170" s="5"/>
    </row>
    <row r="171" spans="1:1">
      <c r="A171" s="5"/>
    </row>
    <row r="172" spans="1:1">
      <c r="A172" s="5"/>
    </row>
    <row r="173" spans="1:1">
      <c r="A173" s="5"/>
    </row>
    <row r="174" spans="1:1">
      <c r="A174" s="5"/>
    </row>
    <row r="175" spans="1:1">
      <c r="A175" s="5"/>
    </row>
    <row r="176" spans="1:1">
      <c r="A176" s="5"/>
    </row>
    <row r="177" spans="1:1">
      <c r="A177" s="5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</sheetData>
  <mergeCells count="7">
    <mergeCell ref="I6:M6"/>
    <mergeCell ref="D6:H6"/>
    <mergeCell ref="C2:C4"/>
    <mergeCell ref="E2:H2"/>
    <mergeCell ref="E3:H3"/>
    <mergeCell ref="E4:H4"/>
    <mergeCell ref="E5:H5"/>
  </mergeCells>
  <phoneticPr fontId="38" type="noConversion"/>
  <pageMargins left="0.38" right="0.2" top="0.33" bottom="0.28000000000000003" header="0.18" footer="0.13"/>
  <ignoredErrors>
    <ignoredError sqref="D10:O24 D9:G9 N9:O9 H9:M9 D26:O45 D25:H25 N25:O25 D47:O67 D46:H46 N46:O46" unlocked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>
  <dimension ref="A1:M41"/>
  <sheetViews>
    <sheetView topLeftCell="A19" workbookViewId="0">
      <selection activeCell="G25" sqref="G25"/>
    </sheetView>
  </sheetViews>
  <sheetFormatPr defaultColWidth="3.7109375" defaultRowHeight="15"/>
  <cols>
    <col min="1" max="1" width="3.85546875" customWidth="1"/>
    <col min="2" max="2" width="28.140625" customWidth="1"/>
    <col min="3" max="3" width="14.140625" customWidth="1"/>
    <col min="4" max="4" width="14" customWidth="1"/>
    <col min="5" max="5" width="15.42578125" customWidth="1"/>
    <col min="6" max="6" width="14" customWidth="1"/>
    <col min="7" max="8" width="13.85546875" customWidth="1"/>
    <col min="9" max="10" width="14.28515625" customWidth="1"/>
    <col min="11" max="11" width="14.42578125" customWidth="1"/>
  </cols>
  <sheetData>
    <row r="1" spans="1:6">
      <c r="A1" s="165" t="s">
        <v>191</v>
      </c>
      <c r="B1" s="165"/>
      <c r="C1" s="163" t="s">
        <v>82</v>
      </c>
    </row>
    <row r="3" spans="1:6">
      <c r="A3" t="s">
        <v>177</v>
      </c>
      <c r="C3" s="166">
        <f>+'Sources and Uses'!F26</f>
        <v>0</v>
      </c>
    </row>
    <row r="4" spans="1:6">
      <c r="A4" t="s">
        <v>424</v>
      </c>
      <c r="C4" s="166">
        <f>+'Sources and Uses'!F13</f>
        <v>1</v>
      </c>
    </row>
    <row r="5" spans="1:6">
      <c r="A5" t="s">
        <v>178</v>
      </c>
      <c r="C5" s="167">
        <f>+'Sources and Uses'!F12</f>
        <v>10</v>
      </c>
    </row>
    <row r="6" spans="1:6">
      <c r="A6" t="s">
        <v>179</v>
      </c>
      <c r="C6" s="168">
        <f>+'Sources and Uses'!F11</f>
        <v>0.06</v>
      </c>
    </row>
    <row r="8" spans="1:6">
      <c r="C8" s="169" t="s">
        <v>180</v>
      </c>
      <c r="D8" s="169" t="s">
        <v>181</v>
      </c>
      <c r="E8" s="169" t="s">
        <v>182</v>
      </c>
      <c r="F8" t="s">
        <v>183</v>
      </c>
    </row>
    <row r="9" spans="1:6">
      <c r="D9" s="170"/>
      <c r="E9" s="170"/>
      <c r="F9" s="171">
        <f>ROUND(PMT($C$6,$C$5-C4+1,-$C$3),-1)</f>
        <v>0</v>
      </c>
    </row>
    <row r="10" spans="1:6">
      <c r="B10" t="s">
        <v>54</v>
      </c>
    </row>
    <row r="11" spans="1:6">
      <c r="A11" s="172"/>
      <c r="B11" s="173">
        <v>1</v>
      </c>
      <c r="C11" s="174">
        <f>C3</f>
        <v>0</v>
      </c>
      <c r="D11" s="175">
        <f t="shared" ref="D11:D20" si="0">ROUND(IF(B11&gt;$C$5,C11,IF(B11&lt;$C$4,0,$F$9-E11)),-1)</f>
        <v>0</v>
      </c>
      <c r="E11" s="175">
        <f>ROUND(IF(B11&gt;$C$5,0,IF(B11&gt;$C$4,IPMT($C$6,B11-$C$4+1,$C$5-$C$4+1,-$C$3),IPMT($C$6,1,$C$5,-$C$3))),-1)</f>
        <v>0</v>
      </c>
    </row>
    <row r="12" spans="1:6">
      <c r="A12" s="172"/>
      <c r="B12" s="173">
        <f>1+B11</f>
        <v>2</v>
      </c>
      <c r="C12" s="174">
        <f>ROUNDUP(C11-D11,-1)</f>
        <v>0</v>
      </c>
      <c r="D12" s="175">
        <f t="shared" si="0"/>
        <v>0</v>
      </c>
      <c r="E12" s="175">
        <f t="shared" ref="E12:E30" si="1">ROUND(IF(B12&gt;$C$5,0,IF(B12&gt;$C$4,IPMT($C$6,B12-$C$4+1,$C$5-$C$4+1,-$C$3),IPMT($C$6,1,$C$5,-$C$3))),-1)</f>
        <v>0</v>
      </c>
    </row>
    <row r="13" spans="1:6">
      <c r="A13" s="172"/>
      <c r="B13" s="173">
        <f t="shared" ref="B13:B30" si="2">1+B12</f>
        <v>3</v>
      </c>
      <c r="C13" s="174">
        <f t="shared" ref="C13:C30" si="3">ROUNDUP(C12-D12,-1)</f>
        <v>0</v>
      </c>
      <c r="D13" s="175">
        <f t="shared" si="0"/>
        <v>0</v>
      </c>
      <c r="E13" s="175">
        <f t="shared" si="1"/>
        <v>0</v>
      </c>
      <c r="F13" s="176"/>
    </row>
    <row r="14" spans="1:6">
      <c r="A14" s="172"/>
      <c r="B14" s="173">
        <f t="shared" si="2"/>
        <v>4</v>
      </c>
      <c r="C14" s="174">
        <f t="shared" si="3"/>
        <v>0</v>
      </c>
      <c r="D14" s="175">
        <f t="shared" si="0"/>
        <v>0</v>
      </c>
      <c r="E14" s="175">
        <f t="shared" si="1"/>
        <v>0</v>
      </c>
      <c r="F14" s="176"/>
    </row>
    <row r="15" spans="1:6">
      <c r="A15" s="172"/>
      <c r="B15" s="173">
        <f t="shared" si="2"/>
        <v>5</v>
      </c>
      <c r="C15" s="174">
        <f t="shared" si="3"/>
        <v>0</v>
      </c>
      <c r="D15" s="175">
        <f t="shared" si="0"/>
        <v>0</v>
      </c>
      <c r="E15" s="175">
        <f t="shared" si="1"/>
        <v>0</v>
      </c>
      <c r="F15" s="176"/>
    </row>
    <row r="16" spans="1:6">
      <c r="A16" s="172"/>
      <c r="B16" s="173">
        <f t="shared" si="2"/>
        <v>6</v>
      </c>
      <c r="C16" s="174">
        <f t="shared" si="3"/>
        <v>0</v>
      </c>
      <c r="D16" s="175">
        <f t="shared" si="0"/>
        <v>0</v>
      </c>
      <c r="E16" s="175">
        <f t="shared" si="1"/>
        <v>0</v>
      </c>
      <c r="F16" s="176"/>
    </row>
    <row r="17" spans="1:6">
      <c r="A17" s="172"/>
      <c r="B17" s="173">
        <f t="shared" si="2"/>
        <v>7</v>
      </c>
      <c r="C17" s="174">
        <f t="shared" si="3"/>
        <v>0</v>
      </c>
      <c r="D17" s="175">
        <f t="shared" si="0"/>
        <v>0</v>
      </c>
      <c r="E17" s="175">
        <f t="shared" si="1"/>
        <v>0</v>
      </c>
      <c r="F17" s="176"/>
    </row>
    <row r="18" spans="1:6">
      <c r="A18" s="172"/>
      <c r="B18" s="173">
        <f t="shared" si="2"/>
        <v>8</v>
      </c>
      <c r="C18" s="174">
        <f t="shared" si="3"/>
        <v>0</v>
      </c>
      <c r="D18" s="175">
        <f t="shared" si="0"/>
        <v>0</v>
      </c>
      <c r="E18" s="175">
        <f t="shared" si="1"/>
        <v>0</v>
      </c>
      <c r="F18" s="176"/>
    </row>
    <row r="19" spans="1:6">
      <c r="A19" s="172"/>
      <c r="B19" s="173">
        <f t="shared" si="2"/>
        <v>9</v>
      </c>
      <c r="C19" s="174">
        <f t="shared" si="3"/>
        <v>0</v>
      </c>
      <c r="D19" s="175">
        <f t="shared" si="0"/>
        <v>0</v>
      </c>
      <c r="E19" s="175">
        <f t="shared" si="1"/>
        <v>0</v>
      </c>
      <c r="F19" s="176"/>
    </row>
    <row r="20" spans="1:6">
      <c r="A20" s="172"/>
      <c r="B20" s="173">
        <f t="shared" si="2"/>
        <v>10</v>
      </c>
      <c r="C20" s="174">
        <f t="shared" si="3"/>
        <v>0</v>
      </c>
      <c r="D20" s="175">
        <f t="shared" si="0"/>
        <v>0</v>
      </c>
      <c r="E20" s="175">
        <f t="shared" si="1"/>
        <v>0</v>
      </c>
      <c r="F20" s="176"/>
    </row>
    <row r="21" spans="1:6">
      <c r="A21" s="172"/>
      <c r="B21" s="173">
        <f t="shared" si="2"/>
        <v>11</v>
      </c>
      <c r="C21" s="174">
        <f t="shared" si="3"/>
        <v>0</v>
      </c>
      <c r="D21" s="175">
        <f>ROUND(IF(B21&gt;$C$5,C21,IF(B21&lt;$C$4,0,$F$9-E21)),-1)</f>
        <v>0</v>
      </c>
      <c r="E21" s="175">
        <f t="shared" si="1"/>
        <v>0</v>
      </c>
      <c r="F21" s="176"/>
    </row>
    <row r="22" spans="1:6">
      <c r="A22" s="172"/>
      <c r="B22" s="173">
        <f t="shared" si="2"/>
        <v>12</v>
      </c>
      <c r="C22" s="174">
        <f t="shared" si="3"/>
        <v>0</v>
      </c>
      <c r="D22" s="175">
        <f t="shared" ref="D22:D30" si="4">ROUND(IF(B22&gt;$C$5,C22,IF(B22&lt;$C$4,0,$F$9-E22)),-1)</f>
        <v>0</v>
      </c>
      <c r="E22" s="175">
        <f t="shared" si="1"/>
        <v>0</v>
      </c>
      <c r="F22" s="176"/>
    </row>
    <row r="23" spans="1:6">
      <c r="A23" s="172"/>
      <c r="B23" s="173">
        <f t="shared" si="2"/>
        <v>13</v>
      </c>
      <c r="C23" s="174">
        <f t="shared" si="3"/>
        <v>0</v>
      </c>
      <c r="D23" s="175">
        <f t="shared" si="4"/>
        <v>0</v>
      </c>
      <c r="E23" s="175">
        <f t="shared" si="1"/>
        <v>0</v>
      </c>
      <c r="F23" s="176"/>
    </row>
    <row r="24" spans="1:6">
      <c r="A24" s="172"/>
      <c r="B24" s="173">
        <f t="shared" si="2"/>
        <v>14</v>
      </c>
      <c r="C24" s="174">
        <f t="shared" si="3"/>
        <v>0</v>
      </c>
      <c r="D24" s="175">
        <f t="shared" si="4"/>
        <v>0</v>
      </c>
      <c r="E24" s="175">
        <f t="shared" si="1"/>
        <v>0</v>
      </c>
      <c r="F24" s="176"/>
    </row>
    <row r="25" spans="1:6">
      <c r="A25" s="172"/>
      <c r="B25" s="173">
        <f t="shared" si="2"/>
        <v>15</v>
      </c>
      <c r="C25" s="174">
        <f t="shared" si="3"/>
        <v>0</v>
      </c>
      <c r="D25" s="175">
        <f t="shared" si="4"/>
        <v>0</v>
      </c>
      <c r="E25" s="175">
        <f t="shared" si="1"/>
        <v>0</v>
      </c>
      <c r="F25" s="176"/>
    </row>
    <row r="26" spans="1:6">
      <c r="A26" s="172"/>
      <c r="B26" s="173">
        <f t="shared" si="2"/>
        <v>16</v>
      </c>
      <c r="C26" s="174">
        <f t="shared" si="3"/>
        <v>0</v>
      </c>
      <c r="D26" s="175">
        <f t="shared" si="4"/>
        <v>0</v>
      </c>
      <c r="E26" s="175">
        <f t="shared" si="1"/>
        <v>0</v>
      </c>
      <c r="F26" s="176"/>
    </row>
    <row r="27" spans="1:6">
      <c r="A27" s="172"/>
      <c r="B27" s="173">
        <f t="shared" si="2"/>
        <v>17</v>
      </c>
      <c r="C27" s="174">
        <f t="shared" si="3"/>
        <v>0</v>
      </c>
      <c r="D27" s="175">
        <f t="shared" si="4"/>
        <v>0</v>
      </c>
      <c r="E27" s="175">
        <f t="shared" si="1"/>
        <v>0</v>
      </c>
      <c r="F27" s="176"/>
    </row>
    <row r="28" spans="1:6">
      <c r="A28" s="172"/>
      <c r="B28" s="173">
        <f t="shared" si="2"/>
        <v>18</v>
      </c>
      <c r="C28" s="174">
        <f t="shared" si="3"/>
        <v>0</v>
      </c>
      <c r="D28" s="175">
        <f t="shared" si="4"/>
        <v>0</v>
      </c>
      <c r="E28" s="175">
        <f t="shared" si="1"/>
        <v>0</v>
      </c>
      <c r="F28" s="176"/>
    </row>
    <row r="29" spans="1:6">
      <c r="A29" s="172"/>
      <c r="B29" s="173">
        <f t="shared" si="2"/>
        <v>19</v>
      </c>
      <c r="C29" s="174">
        <f t="shared" si="3"/>
        <v>0</v>
      </c>
      <c r="D29" s="175">
        <f t="shared" si="4"/>
        <v>0</v>
      </c>
      <c r="E29" s="175">
        <f t="shared" si="1"/>
        <v>0</v>
      </c>
      <c r="F29" s="176"/>
    </row>
    <row r="30" spans="1:6">
      <c r="A30" s="172"/>
      <c r="B30" s="173">
        <f t="shared" si="2"/>
        <v>20</v>
      </c>
      <c r="C30" s="174">
        <f t="shared" si="3"/>
        <v>0</v>
      </c>
      <c r="D30" s="175">
        <f t="shared" si="4"/>
        <v>0</v>
      </c>
      <c r="E30" s="175">
        <f t="shared" si="1"/>
        <v>0</v>
      </c>
      <c r="F30" s="176"/>
    </row>
    <row r="31" spans="1:6">
      <c r="B31" s="173"/>
      <c r="C31" s="177"/>
      <c r="D31" s="175">
        <f>SUM(D11:D30)</f>
        <v>0</v>
      </c>
      <c r="E31" s="175">
        <f>SUM(E11:E30)</f>
        <v>0</v>
      </c>
    </row>
    <row r="32" spans="1:6">
      <c r="B32" s="173"/>
      <c r="C32" s="177"/>
      <c r="D32" s="171"/>
      <c r="E32" s="171"/>
    </row>
    <row r="33" spans="1:13">
      <c r="B33" s="722" t="s">
        <v>192</v>
      </c>
      <c r="C33" s="722"/>
      <c r="D33" s="722"/>
      <c r="E33" s="722"/>
      <c r="F33" s="722"/>
      <c r="G33" s="722"/>
      <c r="H33" s="722"/>
      <c r="I33" s="722"/>
      <c r="J33" s="722"/>
      <c r="K33" s="722"/>
    </row>
    <row r="34" spans="1:13">
      <c r="B34">
        <v>1</v>
      </c>
      <c r="C34">
        <f>+B34+1</f>
        <v>2</v>
      </c>
      <c r="D34">
        <f t="shared" ref="D34:K34" si="5">+C34+1</f>
        <v>3</v>
      </c>
      <c r="E34">
        <f t="shared" si="5"/>
        <v>4</v>
      </c>
      <c r="F34">
        <f t="shared" si="5"/>
        <v>5</v>
      </c>
      <c r="G34">
        <f t="shared" si="5"/>
        <v>6</v>
      </c>
      <c r="H34">
        <f t="shared" si="5"/>
        <v>7</v>
      </c>
      <c r="I34">
        <f t="shared" si="5"/>
        <v>8</v>
      </c>
      <c r="J34">
        <f t="shared" si="5"/>
        <v>9</v>
      </c>
      <c r="K34">
        <f t="shared" si="5"/>
        <v>10</v>
      </c>
    </row>
    <row r="35" spans="1:13">
      <c r="A35" t="s">
        <v>184</v>
      </c>
      <c r="B35" s="179">
        <v>0</v>
      </c>
      <c r="C35" s="179">
        <v>0</v>
      </c>
      <c r="D35" s="179">
        <v>0</v>
      </c>
      <c r="E35" s="179">
        <v>0</v>
      </c>
      <c r="F35" s="179">
        <f>-$D11</f>
        <v>0</v>
      </c>
      <c r="G35" s="179">
        <f>-$D12</f>
        <v>0</v>
      </c>
      <c r="H35" s="179">
        <f>-$D13</f>
        <v>0</v>
      </c>
      <c r="I35" s="179">
        <f>-$D14</f>
        <v>0</v>
      </c>
      <c r="J35" s="179">
        <f>-$D15</f>
        <v>0</v>
      </c>
      <c r="K35" s="179">
        <f>-$D16</f>
        <v>0</v>
      </c>
    </row>
    <row r="36" spans="1:13" ht="16.5">
      <c r="A36" t="s">
        <v>185</v>
      </c>
      <c r="B36" s="180">
        <v>0</v>
      </c>
      <c r="C36" s="180">
        <v>0</v>
      </c>
      <c r="D36" s="180">
        <v>0</v>
      </c>
      <c r="E36" s="180">
        <v>0</v>
      </c>
      <c r="F36" s="180">
        <f>-$E11</f>
        <v>0</v>
      </c>
      <c r="G36" s="180">
        <f>-$E12</f>
        <v>0</v>
      </c>
      <c r="H36" s="180">
        <f>-$E13</f>
        <v>0</v>
      </c>
      <c r="I36" s="180">
        <f>-$E14</f>
        <v>0</v>
      </c>
      <c r="J36" s="180">
        <f>-$E15</f>
        <v>0</v>
      </c>
      <c r="K36" s="180">
        <f>-$E16</f>
        <v>0</v>
      </c>
    </row>
    <row r="37" spans="1:13">
      <c r="B37" s="179">
        <f>+K34+1</f>
        <v>11</v>
      </c>
      <c r="C37" s="179">
        <f t="shared" ref="C37:K37" si="6">+B37+1</f>
        <v>12</v>
      </c>
      <c r="D37" s="179">
        <f t="shared" si="6"/>
        <v>13</v>
      </c>
      <c r="E37" s="179">
        <f t="shared" si="6"/>
        <v>14</v>
      </c>
      <c r="F37" s="179">
        <f t="shared" si="6"/>
        <v>15</v>
      </c>
      <c r="G37" s="179">
        <f t="shared" si="6"/>
        <v>16</v>
      </c>
      <c r="H37" s="179">
        <f t="shared" si="6"/>
        <v>17</v>
      </c>
      <c r="I37" s="179">
        <f t="shared" si="6"/>
        <v>18</v>
      </c>
      <c r="J37" s="179">
        <f t="shared" si="6"/>
        <v>19</v>
      </c>
      <c r="K37" s="179">
        <f t="shared" si="6"/>
        <v>20</v>
      </c>
    </row>
    <row r="38" spans="1:13">
      <c r="A38" t="s">
        <v>184</v>
      </c>
      <c r="B38" s="179">
        <f>-$D17</f>
        <v>0</v>
      </c>
      <c r="C38" s="179">
        <f>-$D18</f>
        <v>0</v>
      </c>
      <c r="D38" s="179">
        <f>-$D19</f>
        <v>0</v>
      </c>
      <c r="E38" s="179">
        <f>-$D20</f>
        <v>0</v>
      </c>
      <c r="F38" s="179">
        <f>-$D21</f>
        <v>0</v>
      </c>
      <c r="G38" s="179">
        <f>-$D22</f>
        <v>0</v>
      </c>
      <c r="H38" s="179">
        <f>-$D23</f>
        <v>0</v>
      </c>
      <c r="I38" s="179">
        <f>-$D24</f>
        <v>0</v>
      </c>
      <c r="J38" s="179">
        <f>-$D25</f>
        <v>0</v>
      </c>
      <c r="K38" s="179">
        <f>-$D26</f>
        <v>0</v>
      </c>
    </row>
    <row r="39" spans="1:13" ht="16.5">
      <c r="A39" t="s">
        <v>185</v>
      </c>
      <c r="B39" s="180">
        <f>-$E17</f>
        <v>0</v>
      </c>
      <c r="C39" s="180">
        <f>-$E18</f>
        <v>0</v>
      </c>
      <c r="D39" s="180">
        <f>-$E19</f>
        <v>0</v>
      </c>
      <c r="E39" s="180">
        <f>-$E20</f>
        <v>0</v>
      </c>
      <c r="F39" s="180">
        <f>-$E21</f>
        <v>0</v>
      </c>
      <c r="G39" s="180">
        <f>-$E22</f>
        <v>0</v>
      </c>
      <c r="H39" s="180">
        <f>-$E23</f>
        <v>0</v>
      </c>
      <c r="I39" s="180">
        <f>-$E24</f>
        <v>0</v>
      </c>
      <c r="J39" s="180">
        <f>-$E25</f>
        <v>0</v>
      </c>
      <c r="K39" s="180">
        <f>-$E26</f>
        <v>0</v>
      </c>
    </row>
    <row r="41" spans="1:13">
      <c r="A41" t="s">
        <v>423</v>
      </c>
      <c r="B41">
        <v>0</v>
      </c>
      <c r="C41">
        <v>0</v>
      </c>
      <c r="D41">
        <v>0</v>
      </c>
      <c r="E41">
        <v>0</v>
      </c>
      <c r="F41" s="174">
        <f>+C11</f>
        <v>0</v>
      </c>
      <c r="G41" s="174">
        <f>+C12</f>
        <v>0</v>
      </c>
      <c r="H41" s="174">
        <f>+C13</f>
        <v>0</v>
      </c>
      <c r="I41" s="174">
        <f>+C14</f>
        <v>0</v>
      </c>
      <c r="J41" s="174">
        <f>+C14</f>
        <v>0</v>
      </c>
      <c r="K41" s="174">
        <f>+C15</f>
        <v>0</v>
      </c>
      <c r="L41" s="174">
        <f>+C16</f>
        <v>0</v>
      </c>
      <c r="M41" s="174">
        <f>+C17</f>
        <v>0</v>
      </c>
    </row>
  </sheetData>
  <mergeCells count="1">
    <mergeCell ref="B33:K33"/>
  </mergeCells>
  <phoneticPr fontId="4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>
  <dimension ref="A1:X32"/>
  <sheetViews>
    <sheetView workbookViewId="0">
      <selection activeCell="B7" sqref="B7"/>
    </sheetView>
  </sheetViews>
  <sheetFormatPr defaultColWidth="8.85546875" defaultRowHeight="15"/>
  <cols>
    <col min="2" max="23" width="12.7109375" customWidth="1"/>
  </cols>
  <sheetData>
    <row r="1" spans="1:24">
      <c r="A1" s="165" t="s">
        <v>378</v>
      </c>
    </row>
    <row r="3" spans="1:24">
      <c r="A3" s="368">
        <v>20</v>
      </c>
      <c r="B3">
        <f>1/A3</f>
        <v>0.05</v>
      </c>
    </row>
    <row r="4" spans="1:24" s="216" customFormat="1" ht="12.75">
      <c r="A4" s="305"/>
      <c r="D4" s="742" t="s">
        <v>370</v>
      </c>
      <c r="E4" s="743"/>
      <c r="F4" s="743"/>
      <c r="G4" s="743"/>
      <c r="H4" s="743"/>
      <c r="I4" s="743"/>
      <c r="J4" s="743"/>
      <c r="K4" s="743"/>
      <c r="L4" s="743"/>
      <c r="M4" s="743"/>
      <c r="N4" s="742" t="s">
        <v>370</v>
      </c>
      <c r="O4" s="743"/>
      <c r="P4" s="743"/>
      <c r="Q4" s="743"/>
      <c r="R4" s="743"/>
      <c r="S4" s="743"/>
      <c r="T4" s="743"/>
      <c r="U4" s="743"/>
      <c r="V4" s="743"/>
      <c r="W4" s="743"/>
    </row>
    <row r="5" spans="1:24" s="216" customFormat="1" ht="12.75">
      <c r="A5" s="305"/>
      <c r="B5" s="306" t="s">
        <v>371</v>
      </c>
      <c r="C5" s="307" t="s">
        <v>372</v>
      </c>
      <c r="D5" s="308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</row>
    <row r="6" spans="1:24" s="216" customFormat="1" ht="12.75">
      <c r="A6" s="306" t="s">
        <v>172</v>
      </c>
      <c r="B6" s="306" t="s">
        <v>373</v>
      </c>
      <c r="C6" s="306" t="s">
        <v>373</v>
      </c>
      <c r="D6" s="310">
        <v>1</v>
      </c>
      <c r="E6" s="310">
        <f t="shared" ref="E6:W6" si="0">D6+1</f>
        <v>2</v>
      </c>
      <c r="F6" s="310">
        <f t="shared" si="0"/>
        <v>3</v>
      </c>
      <c r="G6" s="310">
        <f t="shared" si="0"/>
        <v>4</v>
      </c>
      <c r="H6" s="310">
        <f t="shared" si="0"/>
        <v>5</v>
      </c>
      <c r="I6" s="310">
        <f t="shared" si="0"/>
        <v>6</v>
      </c>
      <c r="J6" s="310">
        <f t="shared" si="0"/>
        <v>7</v>
      </c>
      <c r="K6" s="310">
        <f t="shared" si="0"/>
        <v>8</v>
      </c>
      <c r="L6" s="310">
        <f t="shared" si="0"/>
        <v>9</v>
      </c>
      <c r="M6" s="310">
        <f t="shared" si="0"/>
        <v>10</v>
      </c>
      <c r="N6" s="310">
        <f t="shared" si="0"/>
        <v>11</v>
      </c>
      <c r="O6" s="310">
        <f t="shared" si="0"/>
        <v>12</v>
      </c>
      <c r="P6" s="310">
        <f t="shared" si="0"/>
        <v>13</v>
      </c>
      <c r="Q6" s="310">
        <f t="shared" si="0"/>
        <v>14</v>
      </c>
      <c r="R6" s="310">
        <f t="shared" si="0"/>
        <v>15</v>
      </c>
      <c r="S6" s="310">
        <f t="shared" si="0"/>
        <v>16</v>
      </c>
      <c r="T6" s="310">
        <f t="shared" si="0"/>
        <v>17</v>
      </c>
      <c r="U6" s="310">
        <f t="shared" si="0"/>
        <v>18</v>
      </c>
      <c r="V6" s="310">
        <f t="shared" si="0"/>
        <v>19</v>
      </c>
      <c r="W6" s="310">
        <f t="shared" si="0"/>
        <v>20</v>
      </c>
    </row>
    <row r="7" spans="1:24" s="216" customFormat="1" ht="12.75">
      <c r="A7" s="306">
        <v>1</v>
      </c>
      <c r="B7" s="311">
        <f>+'Capital Additions'!B13</f>
        <v>5607590</v>
      </c>
      <c r="C7" s="312">
        <f>B7</f>
        <v>5607590</v>
      </c>
      <c r="D7" s="311">
        <f>IF(D$6&lt;=$A$3,$B7*$B$3,0)</f>
        <v>280379.5</v>
      </c>
      <c r="E7" s="311">
        <f t="shared" ref="E7:W7" si="1">IF(E$6&lt;=$A$3,$B7*$B$3,0)</f>
        <v>280379.5</v>
      </c>
      <c r="F7" s="311">
        <f t="shared" si="1"/>
        <v>280379.5</v>
      </c>
      <c r="G7" s="311">
        <f t="shared" si="1"/>
        <v>280379.5</v>
      </c>
      <c r="H7" s="311">
        <f t="shared" si="1"/>
        <v>280379.5</v>
      </c>
      <c r="I7" s="311">
        <f t="shared" si="1"/>
        <v>280379.5</v>
      </c>
      <c r="J7" s="311">
        <f t="shared" si="1"/>
        <v>280379.5</v>
      </c>
      <c r="K7" s="311">
        <f t="shared" si="1"/>
        <v>280379.5</v>
      </c>
      <c r="L7" s="311">
        <f t="shared" si="1"/>
        <v>280379.5</v>
      </c>
      <c r="M7" s="311">
        <f t="shared" si="1"/>
        <v>280379.5</v>
      </c>
      <c r="N7" s="311">
        <f t="shared" si="1"/>
        <v>280379.5</v>
      </c>
      <c r="O7" s="311">
        <f t="shared" si="1"/>
        <v>280379.5</v>
      </c>
      <c r="P7" s="311">
        <f t="shared" si="1"/>
        <v>280379.5</v>
      </c>
      <c r="Q7" s="311">
        <f t="shared" si="1"/>
        <v>280379.5</v>
      </c>
      <c r="R7" s="311">
        <f t="shared" si="1"/>
        <v>280379.5</v>
      </c>
      <c r="S7" s="311">
        <f t="shared" si="1"/>
        <v>280379.5</v>
      </c>
      <c r="T7" s="311">
        <f t="shared" si="1"/>
        <v>280379.5</v>
      </c>
      <c r="U7" s="311">
        <f t="shared" si="1"/>
        <v>280379.5</v>
      </c>
      <c r="V7" s="311">
        <f t="shared" si="1"/>
        <v>280379.5</v>
      </c>
      <c r="W7" s="311">
        <f t="shared" si="1"/>
        <v>280379.5</v>
      </c>
      <c r="X7" s="313"/>
    </row>
    <row r="8" spans="1:24" s="216" customFormat="1" ht="12.75">
      <c r="A8" s="306">
        <f t="shared" ref="A8:A26" si="2">A7+1</f>
        <v>2</v>
      </c>
      <c r="B8" s="311">
        <f>+'Capital Additions'!C13</f>
        <v>16702272</v>
      </c>
      <c r="C8" s="312">
        <f t="shared" ref="C8:C26" si="3">C7+B8</f>
        <v>22309862</v>
      </c>
      <c r="D8" s="311"/>
      <c r="E8" s="311">
        <f>IF(D$6&lt;=$A$3,$B8*$B$3,0)</f>
        <v>835113.60000000009</v>
      </c>
      <c r="F8" s="311">
        <f t="shared" ref="F8:W8" si="4">IF(E$6&lt;=$A$3,$B8*$B$3,0)</f>
        <v>835113.60000000009</v>
      </c>
      <c r="G8" s="311">
        <f t="shared" si="4"/>
        <v>835113.60000000009</v>
      </c>
      <c r="H8" s="311">
        <f t="shared" si="4"/>
        <v>835113.60000000009</v>
      </c>
      <c r="I8" s="311">
        <f t="shared" si="4"/>
        <v>835113.60000000009</v>
      </c>
      <c r="J8" s="311">
        <f t="shared" si="4"/>
        <v>835113.60000000009</v>
      </c>
      <c r="K8" s="311">
        <f t="shared" si="4"/>
        <v>835113.60000000009</v>
      </c>
      <c r="L8" s="311">
        <f t="shared" si="4"/>
        <v>835113.60000000009</v>
      </c>
      <c r="M8" s="311">
        <f t="shared" si="4"/>
        <v>835113.60000000009</v>
      </c>
      <c r="N8" s="311">
        <f t="shared" si="4"/>
        <v>835113.60000000009</v>
      </c>
      <c r="O8" s="311">
        <f t="shared" si="4"/>
        <v>835113.60000000009</v>
      </c>
      <c r="P8" s="311">
        <f t="shared" si="4"/>
        <v>835113.60000000009</v>
      </c>
      <c r="Q8" s="311">
        <f t="shared" si="4"/>
        <v>835113.60000000009</v>
      </c>
      <c r="R8" s="311">
        <f t="shared" si="4"/>
        <v>835113.60000000009</v>
      </c>
      <c r="S8" s="311">
        <f t="shared" si="4"/>
        <v>835113.60000000009</v>
      </c>
      <c r="T8" s="311">
        <f t="shared" si="4"/>
        <v>835113.60000000009</v>
      </c>
      <c r="U8" s="311">
        <f t="shared" si="4"/>
        <v>835113.60000000009</v>
      </c>
      <c r="V8" s="311">
        <f t="shared" si="4"/>
        <v>835113.60000000009</v>
      </c>
      <c r="W8" s="311">
        <f t="shared" si="4"/>
        <v>835113.60000000009</v>
      </c>
    </row>
    <row r="9" spans="1:24" s="216" customFormat="1" ht="12.75">
      <c r="A9" s="306">
        <f t="shared" si="2"/>
        <v>3</v>
      </c>
      <c r="B9" s="311">
        <f>+'Capital Additions'!D13</f>
        <v>0</v>
      </c>
      <c r="C9" s="312">
        <f t="shared" si="3"/>
        <v>22309862</v>
      </c>
      <c r="D9" s="311"/>
      <c r="E9" s="311"/>
      <c r="F9" s="311">
        <f>IF(D$6&lt;=$A$3,$B9*$B$3,0)</f>
        <v>0</v>
      </c>
      <c r="G9" s="311">
        <f t="shared" ref="G9:W9" si="5">IF(E$6&lt;=$A$3,$B9*$B$3,0)</f>
        <v>0</v>
      </c>
      <c r="H9" s="311">
        <f t="shared" si="5"/>
        <v>0</v>
      </c>
      <c r="I9" s="311">
        <f t="shared" si="5"/>
        <v>0</v>
      </c>
      <c r="J9" s="311">
        <f t="shared" si="5"/>
        <v>0</v>
      </c>
      <c r="K9" s="311">
        <f t="shared" si="5"/>
        <v>0</v>
      </c>
      <c r="L9" s="311">
        <f t="shared" si="5"/>
        <v>0</v>
      </c>
      <c r="M9" s="311">
        <f t="shared" si="5"/>
        <v>0</v>
      </c>
      <c r="N9" s="311">
        <f t="shared" si="5"/>
        <v>0</v>
      </c>
      <c r="O9" s="311">
        <f t="shared" si="5"/>
        <v>0</v>
      </c>
      <c r="P9" s="311">
        <f t="shared" si="5"/>
        <v>0</v>
      </c>
      <c r="Q9" s="311">
        <f t="shared" si="5"/>
        <v>0</v>
      </c>
      <c r="R9" s="311">
        <f t="shared" si="5"/>
        <v>0</v>
      </c>
      <c r="S9" s="311">
        <f t="shared" si="5"/>
        <v>0</v>
      </c>
      <c r="T9" s="311">
        <f t="shared" si="5"/>
        <v>0</v>
      </c>
      <c r="U9" s="311">
        <f t="shared" si="5"/>
        <v>0</v>
      </c>
      <c r="V9" s="311">
        <f t="shared" si="5"/>
        <v>0</v>
      </c>
      <c r="W9" s="311">
        <f t="shared" si="5"/>
        <v>0</v>
      </c>
    </row>
    <row r="10" spans="1:24" s="216" customFormat="1" ht="12.75">
      <c r="A10" s="306">
        <f t="shared" si="2"/>
        <v>4</v>
      </c>
      <c r="B10" s="311">
        <f>+'Capital Additions'!E13</f>
        <v>0</v>
      </c>
      <c r="C10" s="312">
        <f t="shared" si="3"/>
        <v>22309862</v>
      </c>
      <c r="D10" s="311"/>
      <c r="E10" s="311"/>
      <c r="F10" s="311"/>
      <c r="G10" s="311">
        <f>IF(D$6&lt;=$A$3,$B10*$B$3,0)</f>
        <v>0</v>
      </c>
      <c r="H10" s="311">
        <f t="shared" ref="H10:W10" si="6">IF(E$6&lt;=$A$3,$B10*$B$3,0)</f>
        <v>0</v>
      </c>
      <c r="I10" s="311">
        <f t="shared" si="6"/>
        <v>0</v>
      </c>
      <c r="J10" s="311">
        <f t="shared" si="6"/>
        <v>0</v>
      </c>
      <c r="K10" s="311">
        <f t="shared" si="6"/>
        <v>0</v>
      </c>
      <c r="L10" s="311">
        <f t="shared" si="6"/>
        <v>0</v>
      </c>
      <c r="M10" s="311">
        <f t="shared" si="6"/>
        <v>0</v>
      </c>
      <c r="N10" s="311">
        <f t="shared" si="6"/>
        <v>0</v>
      </c>
      <c r="O10" s="311">
        <f t="shared" si="6"/>
        <v>0</v>
      </c>
      <c r="P10" s="311">
        <f t="shared" si="6"/>
        <v>0</v>
      </c>
      <c r="Q10" s="311">
        <f t="shared" si="6"/>
        <v>0</v>
      </c>
      <c r="R10" s="311">
        <f t="shared" si="6"/>
        <v>0</v>
      </c>
      <c r="S10" s="311">
        <f t="shared" si="6"/>
        <v>0</v>
      </c>
      <c r="T10" s="311">
        <f t="shared" si="6"/>
        <v>0</v>
      </c>
      <c r="U10" s="311">
        <f t="shared" si="6"/>
        <v>0</v>
      </c>
      <c r="V10" s="311">
        <f t="shared" si="6"/>
        <v>0</v>
      </c>
      <c r="W10" s="311">
        <f t="shared" si="6"/>
        <v>0</v>
      </c>
    </row>
    <row r="11" spans="1:24" s="216" customFormat="1" ht="12.75">
      <c r="A11" s="306">
        <f t="shared" si="2"/>
        <v>5</v>
      </c>
      <c r="B11" s="311">
        <f>+'Capital Additions'!F13</f>
        <v>0</v>
      </c>
      <c r="C11" s="312">
        <f t="shared" si="3"/>
        <v>22309862</v>
      </c>
      <c r="D11" s="311"/>
      <c r="E11" s="311"/>
      <c r="F11" s="311"/>
      <c r="G11" s="311"/>
      <c r="H11" s="311">
        <f>IF(D$6&lt;=$A$3,$B11*$B$3,0)</f>
        <v>0</v>
      </c>
      <c r="I11" s="311">
        <f t="shared" ref="I11:W11" si="7">IF(E$6&lt;=$A$3,$B11*$B$3,0)</f>
        <v>0</v>
      </c>
      <c r="J11" s="311">
        <f t="shared" si="7"/>
        <v>0</v>
      </c>
      <c r="K11" s="311">
        <f t="shared" si="7"/>
        <v>0</v>
      </c>
      <c r="L11" s="311">
        <f t="shared" si="7"/>
        <v>0</v>
      </c>
      <c r="M11" s="311">
        <f t="shared" si="7"/>
        <v>0</v>
      </c>
      <c r="N11" s="311">
        <f t="shared" si="7"/>
        <v>0</v>
      </c>
      <c r="O11" s="311">
        <f t="shared" si="7"/>
        <v>0</v>
      </c>
      <c r="P11" s="311">
        <f t="shared" si="7"/>
        <v>0</v>
      </c>
      <c r="Q11" s="311">
        <f t="shared" si="7"/>
        <v>0</v>
      </c>
      <c r="R11" s="311">
        <f t="shared" si="7"/>
        <v>0</v>
      </c>
      <c r="S11" s="311">
        <f t="shared" si="7"/>
        <v>0</v>
      </c>
      <c r="T11" s="311">
        <f t="shared" si="7"/>
        <v>0</v>
      </c>
      <c r="U11" s="311">
        <f t="shared" si="7"/>
        <v>0</v>
      </c>
      <c r="V11" s="311">
        <f t="shared" si="7"/>
        <v>0</v>
      </c>
      <c r="W11" s="311">
        <f t="shared" si="7"/>
        <v>0</v>
      </c>
    </row>
    <row r="12" spans="1:24" s="216" customFormat="1" ht="12.75">
      <c r="A12" s="306">
        <f t="shared" si="2"/>
        <v>6</v>
      </c>
      <c r="B12" s="311">
        <v>0</v>
      </c>
      <c r="C12" s="312">
        <f t="shared" si="3"/>
        <v>22309862</v>
      </c>
      <c r="D12" s="311"/>
      <c r="E12" s="311"/>
      <c r="F12" s="311"/>
      <c r="G12" s="311"/>
      <c r="H12" s="311"/>
      <c r="I12" s="311">
        <f>IF(D$6&lt;=$A$3,$B12*$B$3,0)</f>
        <v>0</v>
      </c>
      <c r="J12" s="311">
        <f t="shared" ref="J12:W12" si="8">IF(E$6&lt;=$A$3,$B12*$B$3,0)</f>
        <v>0</v>
      </c>
      <c r="K12" s="311">
        <f t="shared" si="8"/>
        <v>0</v>
      </c>
      <c r="L12" s="311">
        <f t="shared" si="8"/>
        <v>0</v>
      </c>
      <c r="M12" s="311">
        <f t="shared" si="8"/>
        <v>0</v>
      </c>
      <c r="N12" s="311">
        <f t="shared" si="8"/>
        <v>0</v>
      </c>
      <c r="O12" s="311">
        <f t="shared" si="8"/>
        <v>0</v>
      </c>
      <c r="P12" s="311">
        <f t="shared" si="8"/>
        <v>0</v>
      </c>
      <c r="Q12" s="311">
        <f t="shared" si="8"/>
        <v>0</v>
      </c>
      <c r="R12" s="311">
        <f t="shared" si="8"/>
        <v>0</v>
      </c>
      <c r="S12" s="311">
        <f t="shared" si="8"/>
        <v>0</v>
      </c>
      <c r="T12" s="311">
        <f t="shared" si="8"/>
        <v>0</v>
      </c>
      <c r="U12" s="311">
        <f t="shared" si="8"/>
        <v>0</v>
      </c>
      <c r="V12" s="311">
        <f t="shared" si="8"/>
        <v>0</v>
      </c>
      <c r="W12" s="311">
        <f t="shared" si="8"/>
        <v>0</v>
      </c>
    </row>
    <row r="13" spans="1:24" s="216" customFormat="1" ht="12.75">
      <c r="A13" s="306">
        <f t="shared" si="2"/>
        <v>7</v>
      </c>
      <c r="B13" s="311">
        <v>0</v>
      </c>
      <c r="C13" s="312">
        <f t="shared" si="3"/>
        <v>22309862</v>
      </c>
      <c r="D13" s="311"/>
      <c r="E13" s="311"/>
      <c r="F13" s="311"/>
      <c r="G13" s="311"/>
      <c r="H13" s="311"/>
      <c r="I13" s="311"/>
      <c r="J13" s="311">
        <f>IF(D$6&lt;=$A$3,$B13*$B$3,0)</f>
        <v>0</v>
      </c>
      <c r="K13" s="311">
        <f t="shared" ref="K13:W13" si="9">IF(E$6&lt;=$A$3,$B13*$B$3,0)</f>
        <v>0</v>
      </c>
      <c r="L13" s="311">
        <f t="shared" si="9"/>
        <v>0</v>
      </c>
      <c r="M13" s="311">
        <f t="shared" si="9"/>
        <v>0</v>
      </c>
      <c r="N13" s="311">
        <f t="shared" si="9"/>
        <v>0</v>
      </c>
      <c r="O13" s="311">
        <f t="shared" si="9"/>
        <v>0</v>
      </c>
      <c r="P13" s="311">
        <f t="shared" si="9"/>
        <v>0</v>
      </c>
      <c r="Q13" s="311">
        <f t="shared" si="9"/>
        <v>0</v>
      </c>
      <c r="R13" s="311">
        <f t="shared" si="9"/>
        <v>0</v>
      </c>
      <c r="S13" s="311">
        <f t="shared" si="9"/>
        <v>0</v>
      </c>
      <c r="T13" s="311">
        <f t="shared" si="9"/>
        <v>0</v>
      </c>
      <c r="U13" s="311">
        <f t="shared" si="9"/>
        <v>0</v>
      </c>
      <c r="V13" s="311">
        <f t="shared" si="9"/>
        <v>0</v>
      </c>
      <c r="W13" s="311">
        <f t="shared" si="9"/>
        <v>0</v>
      </c>
    </row>
    <row r="14" spans="1:24" s="216" customFormat="1" ht="12.75">
      <c r="A14" s="306">
        <f t="shared" si="2"/>
        <v>8</v>
      </c>
      <c r="B14" s="311">
        <v>0</v>
      </c>
      <c r="C14" s="312">
        <f t="shared" si="3"/>
        <v>22309862</v>
      </c>
      <c r="D14" s="311"/>
      <c r="E14" s="311"/>
      <c r="F14" s="311"/>
      <c r="G14" s="311"/>
      <c r="H14" s="311"/>
      <c r="I14" s="311"/>
      <c r="J14" s="311"/>
      <c r="K14" s="311">
        <f>IF(D$6&lt;=$A$3,$B14*$B$3,0)</f>
        <v>0</v>
      </c>
      <c r="L14" s="311">
        <f t="shared" ref="L14:W14" si="10">IF(E$6&lt;=$A$3,$B14*$B$3,0)</f>
        <v>0</v>
      </c>
      <c r="M14" s="311">
        <f t="shared" si="10"/>
        <v>0</v>
      </c>
      <c r="N14" s="311">
        <f t="shared" si="10"/>
        <v>0</v>
      </c>
      <c r="O14" s="311">
        <f t="shared" si="10"/>
        <v>0</v>
      </c>
      <c r="P14" s="311">
        <f t="shared" si="10"/>
        <v>0</v>
      </c>
      <c r="Q14" s="311">
        <f t="shared" si="10"/>
        <v>0</v>
      </c>
      <c r="R14" s="311">
        <f t="shared" si="10"/>
        <v>0</v>
      </c>
      <c r="S14" s="311">
        <f t="shared" si="10"/>
        <v>0</v>
      </c>
      <c r="T14" s="311">
        <f t="shared" si="10"/>
        <v>0</v>
      </c>
      <c r="U14" s="311">
        <f t="shared" si="10"/>
        <v>0</v>
      </c>
      <c r="V14" s="311">
        <f t="shared" si="10"/>
        <v>0</v>
      </c>
      <c r="W14" s="311">
        <f t="shared" si="10"/>
        <v>0</v>
      </c>
    </row>
    <row r="15" spans="1:24" s="216" customFormat="1" ht="12.75">
      <c r="A15" s="306">
        <f t="shared" si="2"/>
        <v>9</v>
      </c>
      <c r="B15" s="311">
        <v>0</v>
      </c>
      <c r="C15" s="312">
        <f t="shared" si="3"/>
        <v>22309862</v>
      </c>
      <c r="D15" s="311"/>
      <c r="E15" s="311"/>
      <c r="F15" s="311"/>
      <c r="G15" s="311"/>
      <c r="H15" s="311"/>
      <c r="I15" s="311"/>
      <c r="J15" s="311"/>
      <c r="K15" s="311"/>
      <c r="L15" s="311">
        <f>IF(D$6&lt;=$A$3,$B15*$B$3,0)</f>
        <v>0</v>
      </c>
      <c r="M15" s="311">
        <f t="shared" ref="M15:W15" si="11">IF(E$6&lt;=$A$3,$B15*$B$3,0)</f>
        <v>0</v>
      </c>
      <c r="N15" s="311">
        <f t="shared" si="11"/>
        <v>0</v>
      </c>
      <c r="O15" s="311">
        <f t="shared" si="11"/>
        <v>0</v>
      </c>
      <c r="P15" s="311">
        <f t="shared" si="11"/>
        <v>0</v>
      </c>
      <c r="Q15" s="311">
        <f t="shared" si="11"/>
        <v>0</v>
      </c>
      <c r="R15" s="311">
        <f t="shared" si="11"/>
        <v>0</v>
      </c>
      <c r="S15" s="311">
        <f t="shared" si="11"/>
        <v>0</v>
      </c>
      <c r="T15" s="311">
        <f t="shared" si="11"/>
        <v>0</v>
      </c>
      <c r="U15" s="311">
        <f t="shared" si="11"/>
        <v>0</v>
      </c>
      <c r="V15" s="311">
        <f t="shared" si="11"/>
        <v>0</v>
      </c>
      <c r="W15" s="311">
        <f t="shared" si="11"/>
        <v>0</v>
      </c>
    </row>
    <row r="16" spans="1:24" s="216" customFormat="1" ht="12.75">
      <c r="A16" s="306">
        <f t="shared" si="2"/>
        <v>10</v>
      </c>
      <c r="B16" s="311">
        <v>0</v>
      </c>
      <c r="C16" s="312">
        <f t="shared" si="3"/>
        <v>22309862</v>
      </c>
      <c r="D16" s="311"/>
      <c r="E16" s="311"/>
      <c r="F16" s="311"/>
      <c r="G16" s="311"/>
      <c r="H16" s="311"/>
      <c r="I16" s="311"/>
      <c r="J16" s="311"/>
      <c r="K16" s="311"/>
      <c r="L16" s="311"/>
      <c r="M16" s="311">
        <f>IF(D$6&lt;=$A$3,$B16*$B$3,0)</f>
        <v>0</v>
      </c>
      <c r="N16" s="311">
        <f t="shared" ref="N16:W16" si="12">IF(E$6&lt;=$A$3,$B16*$B$3,0)</f>
        <v>0</v>
      </c>
      <c r="O16" s="311">
        <f t="shared" si="12"/>
        <v>0</v>
      </c>
      <c r="P16" s="311">
        <f t="shared" si="12"/>
        <v>0</v>
      </c>
      <c r="Q16" s="311">
        <f t="shared" si="12"/>
        <v>0</v>
      </c>
      <c r="R16" s="311">
        <f t="shared" si="12"/>
        <v>0</v>
      </c>
      <c r="S16" s="311">
        <f t="shared" si="12"/>
        <v>0</v>
      </c>
      <c r="T16" s="311">
        <f t="shared" si="12"/>
        <v>0</v>
      </c>
      <c r="U16" s="311">
        <f t="shared" si="12"/>
        <v>0</v>
      </c>
      <c r="V16" s="311">
        <f t="shared" si="12"/>
        <v>0</v>
      </c>
      <c r="W16" s="311">
        <f t="shared" si="12"/>
        <v>0</v>
      </c>
    </row>
    <row r="17" spans="1:23" s="216" customFormat="1" ht="12.75">
      <c r="A17" s="306">
        <f t="shared" si="2"/>
        <v>11</v>
      </c>
      <c r="B17" s="311">
        <v>0</v>
      </c>
      <c r="C17" s="312">
        <f t="shared" si="3"/>
        <v>22309862</v>
      </c>
      <c r="D17" s="311"/>
      <c r="E17" s="311"/>
      <c r="F17" s="311"/>
      <c r="G17" s="311"/>
      <c r="H17" s="311"/>
      <c r="I17" s="311"/>
      <c r="J17" s="311"/>
      <c r="K17" s="311"/>
      <c r="L17" s="311"/>
      <c r="M17" s="312"/>
      <c r="N17" s="311">
        <f>IF(D$6&lt;=$A$3,$B17*$B$3,0)</f>
        <v>0</v>
      </c>
      <c r="O17" s="311">
        <f t="shared" ref="O17:W17" si="13">IF(E$6&lt;=$A$3,$B17*$B$3,0)</f>
        <v>0</v>
      </c>
      <c r="P17" s="311">
        <f t="shared" si="13"/>
        <v>0</v>
      </c>
      <c r="Q17" s="311">
        <f t="shared" si="13"/>
        <v>0</v>
      </c>
      <c r="R17" s="311">
        <f t="shared" si="13"/>
        <v>0</v>
      </c>
      <c r="S17" s="311">
        <f t="shared" si="13"/>
        <v>0</v>
      </c>
      <c r="T17" s="311">
        <f t="shared" si="13"/>
        <v>0</v>
      </c>
      <c r="U17" s="311">
        <f t="shared" si="13"/>
        <v>0</v>
      </c>
      <c r="V17" s="311">
        <f t="shared" si="13"/>
        <v>0</v>
      </c>
      <c r="W17" s="311">
        <f t="shared" si="13"/>
        <v>0</v>
      </c>
    </row>
    <row r="18" spans="1:23" s="216" customFormat="1" ht="12.75">
      <c r="A18" s="306">
        <f t="shared" si="2"/>
        <v>12</v>
      </c>
      <c r="B18" s="311">
        <v>0</v>
      </c>
      <c r="C18" s="312">
        <f t="shared" si="3"/>
        <v>22309862</v>
      </c>
      <c r="D18" s="311"/>
      <c r="E18" s="311"/>
      <c r="F18" s="311"/>
      <c r="G18" s="311"/>
      <c r="H18" s="311"/>
      <c r="I18" s="311"/>
      <c r="J18" s="311"/>
      <c r="K18" s="311"/>
      <c r="L18" s="311"/>
      <c r="M18" s="312"/>
      <c r="N18" s="312"/>
      <c r="O18" s="311">
        <f>IF(D$6&lt;=$A$3,$B18*$B$3,0)</f>
        <v>0</v>
      </c>
      <c r="P18" s="311">
        <f t="shared" ref="P18:W18" si="14">IF(E$6&lt;=$A$3,$B18*$B$3,0)</f>
        <v>0</v>
      </c>
      <c r="Q18" s="311">
        <f t="shared" si="14"/>
        <v>0</v>
      </c>
      <c r="R18" s="311">
        <f t="shared" si="14"/>
        <v>0</v>
      </c>
      <c r="S18" s="311">
        <f t="shared" si="14"/>
        <v>0</v>
      </c>
      <c r="T18" s="311">
        <f t="shared" si="14"/>
        <v>0</v>
      </c>
      <c r="U18" s="311">
        <f t="shared" si="14"/>
        <v>0</v>
      </c>
      <c r="V18" s="311">
        <f t="shared" si="14"/>
        <v>0</v>
      </c>
      <c r="W18" s="311">
        <f t="shared" si="14"/>
        <v>0</v>
      </c>
    </row>
    <row r="19" spans="1:23" s="216" customFormat="1" ht="12.75">
      <c r="A19" s="306">
        <f t="shared" si="2"/>
        <v>13</v>
      </c>
      <c r="B19" s="311">
        <v>0</v>
      </c>
      <c r="C19" s="312">
        <f t="shared" si="3"/>
        <v>22309862</v>
      </c>
      <c r="D19" s="311"/>
      <c r="E19" s="311"/>
      <c r="F19" s="311"/>
      <c r="G19" s="311"/>
      <c r="H19" s="311"/>
      <c r="I19" s="311"/>
      <c r="J19" s="311"/>
      <c r="K19" s="311"/>
      <c r="L19" s="311"/>
      <c r="M19" s="312"/>
      <c r="N19" s="312"/>
      <c r="O19" s="312"/>
      <c r="P19" s="311">
        <f>IF(D$6&lt;=$A$3,$B19*$B$3,0)</f>
        <v>0</v>
      </c>
      <c r="Q19" s="311">
        <f t="shared" ref="Q19:W19" si="15">IF(E$6&lt;=$A$3,$B19*$B$3,0)</f>
        <v>0</v>
      </c>
      <c r="R19" s="311">
        <f t="shared" si="15"/>
        <v>0</v>
      </c>
      <c r="S19" s="311">
        <f t="shared" si="15"/>
        <v>0</v>
      </c>
      <c r="T19" s="311">
        <f t="shared" si="15"/>
        <v>0</v>
      </c>
      <c r="U19" s="311">
        <f t="shared" si="15"/>
        <v>0</v>
      </c>
      <c r="V19" s="311">
        <f t="shared" si="15"/>
        <v>0</v>
      </c>
      <c r="W19" s="311">
        <f t="shared" si="15"/>
        <v>0</v>
      </c>
    </row>
    <row r="20" spans="1:23" s="216" customFormat="1" ht="12.75">
      <c r="A20" s="306">
        <f t="shared" si="2"/>
        <v>14</v>
      </c>
      <c r="B20" s="311">
        <v>0</v>
      </c>
      <c r="C20" s="312">
        <f t="shared" si="3"/>
        <v>22309862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2"/>
      <c r="N20" s="312"/>
      <c r="O20" s="312"/>
      <c r="P20" s="312"/>
      <c r="Q20" s="311">
        <f>IF(D$6&lt;=$A$3,$B20*$B$3,0)</f>
        <v>0</v>
      </c>
      <c r="R20" s="311">
        <f t="shared" ref="R20:W20" si="16">IF(E$6&lt;=$A$3,$B20*$B$3,0)</f>
        <v>0</v>
      </c>
      <c r="S20" s="311">
        <f t="shared" si="16"/>
        <v>0</v>
      </c>
      <c r="T20" s="311">
        <f t="shared" si="16"/>
        <v>0</v>
      </c>
      <c r="U20" s="311">
        <f t="shared" si="16"/>
        <v>0</v>
      </c>
      <c r="V20" s="311">
        <f t="shared" si="16"/>
        <v>0</v>
      </c>
      <c r="W20" s="311">
        <f t="shared" si="16"/>
        <v>0</v>
      </c>
    </row>
    <row r="21" spans="1:23" s="216" customFormat="1" ht="12.75">
      <c r="A21" s="306">
        <f t="shared" si="2"/>
        <v>15</v>
      </c>
      <c r="B21" s="311">
        <v>0</v>
      </c>
      <c r="C21" s="312">
        <f t="shared" si="3"/>
        <v>22309862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2"/>
      <c r="N21" s="312"/>
      <c r="O21" s="312"/>
      <c r="P21" s="312"/>
      <c r="Q21" s="312"/>
      <c r="R21" s="311">
        <f>IF(D$6&lt;=$A$3,$B21*$B$3,0)</f>
        <v>0</v>
      </c>
      <c r="S21" s="311">
        <f t="shared" ref="S21:W21" si="17">IF(E$6&lt;=$A$3,$B21*$B$3,0)</f>
        <v>0</v>
      </c>
      <c r="T21" s="311">
        <f t="shared" si="17"/>
        <v>0</v>
      </c>
      <c r="U21" s="311">
        <f t="shared" si="17"/>
        <v>0</v>
      </c>
      <c r="V21" s="311">
        <f t="shared" si="17"/>
        <v>0</v>
      </c>
      <c r="W21" s="311">
        <f t="shared" si="17"/>
        <v>0</v>
      </c>
    </row>
    <row r="22" spans="1:23" s="216" customFormat="1" ht="12.75">
      <c r="A22" s="306">
        <f t="shared" si="2"/>
        <v>16</v>
      </c>
      <c r="B22" s="311">
        <v>0</v>
      </c>
      <c r="C22" s="312">
        <f t="shared" si="3"/>
        <v>22309862</v>
      </c>
      <c r="D22" s="311"/>
      <c r="E22" s="311"/>
      <c r="F22" s="311"/>
      <c r="G22" s="311"/>
      <c r="H22" s="311"/>
      <c r="I22" s="311"/>
      <c r="J22" s="311"/>
      <c r="K22" s="311"/>
      <c r="L22" s="311"/>
      <c r="M22" s="312"/>
      <c r="N22" s="312"/>
      <c r="O22" s="312"/>
      <c r="P22" s="312"/>
      <c r="Q22" s="312"/>
      <c r="R22" s="312"/>
      <c r="S22" s="311">
        <f>IF(D$6&lt;=$A$3,$B22*$B$3,0)</f>
        <v>0</v>
      </c>
      <c r="T22" s="311">
        <f t="shared" ref="T22:W22" si="18">IF(E$6&lt;=$A$3,$B22*$B$3,0)</f>
        <v>0</v>
      </c>
      <c r="U22" s="311">
        <f t="shared" si="18"/>
        <v>0</v>
      </c>
      <c r="V22" s="311">
        <f t="shared" si="18"/>
        <v>0</v>
      </c>
      <c r="W22" s="311">
        <f t="shared" si="18"/>
        <v>0</v>
      </c>
    </row>
    <row r="23" spans="1:23" s="216" customFormat="1" ht="12.75">
      <c r="A23" s="306">
        <f t="shared" si="2"/>
        <v>17</v>
      </c>
      <c r="B23" s="311">
        <v>0</v>
      </c>
      <c r="C23" s="312">
        <f t="shared" si="3"/>
        <v>22309862</v>
      </c>
      <c r="D23" s="311"/>
      <c r="E23" s="311"/>
      <c r="F23" s="311"/>
      <c r="G23" s="311"/>
      <c r="H23" s="311"/>
      <c r="I23" s="311"/>
      <c r="J23" s="311"/>
      <c r="K23" s="311"/>
      <c r="L23" s="311"/>
      <c r="M23" s="312"/>
      <c r="N23" s="312"/>
      <c r="O23" s="312"/>
      <c r="P23" s="312"/>
      <c r="Q23" s="312"/>
      <c r="R23" s="312"/>
      <c r="S23" s="312"/>
      <c r="T23" s="311">
        <f>IF(D$6&lt;=$A$3,$B23*$B$3,0)</f>
        <v>0</v>
      </c>
      <c r="U23" s="311">
        <f t="shared" ref="U23:W23" si="19">IF(E$6&lt;=$A$3,$B23*$B$3,0)</f>
        <v>0</v>
      </c>
      <c r="V23" s="311">
        <f t="shared" si="19"/>
        <v>0</v>
      </c>
      <c r="W23" s="311">
        <f t="shared" si="19"/>
        <v>0</v>
      </c>
    </row>
    <row r="24" spans="1:23" s="216" customFormat="1" ht="12.75">
      <c r="A24" s="306">
        <f t="shared" si="2"/>
        <v>18</v>
      </c>
      <c r="B24" s="311">
        <v>0</v>
      </c>
      <c r="C24" s="312">
        <f t="shared" si="3"/>
        <v>22309862</v>
      </c>
      <c r="D24" s="311"/>
      <c r="E24" s="311"/>
      <c r="F24" s="311"/>
      <c r="G24" s="311"/>
      <c r="H24" s="311"/>
      <c r="I24" s="311"/>
      <c r="J24" s="311"/>
      <c r="K24" s="311"/>
      <c r="L24" s="311"/>
      <c r="M24" s="312"/>
      <c r="N24" s="312"/>
      <c r="O24" s="312"/>
      <c r="P24" s="312"/>
      <c r="Q24" s="312"/>
      <c r="R24" s="312"/>
      <c r="S24" s="312"/>
      <c r="T24" s="312"/>
      <c r="U24" s="311">
        <f>IF(D$6&lt;=$A$3,$B24*$B$3,0)</f>
        <v>0</v>
      </c>
      <c r="V24" s="311">
        <f t="shared" ref="V24:W24" si="20">IF(E$6&lt;=$A$3,$B24*$B$3,0)</f>
        <v>0</v>
      </c>
      <c r="W24" s="311">
        <f t="shared" si="20"/>
        <v>0</v>
      </c>
    </row>
    <row r="25" spans="1:23" s="216" customFormat="1" ht="12.75">
      <c r="A25" s="306">
        <f t="shared" si="2"/>
        <v>19</v>
      </c>
      <c r="B25" s="311">
        <v>0</v>
      </c>
      <c r="C25" s="312">
        <f t="shared" si="3"/>
        <v>22309862</v>
      </c>
      <c r="D25" s="311"/>
      <c r="E25" s="311"/>
      <c r="F25" s="311"/>
      <c r="G25" s="311"/>
      <c r="H25" s="311"/>
      <c r="I25" s="311"/>
      <c r="J25" s="311"/>
      <c r="K25" s="311"/>
      <c r="L25" s="311"/>
      <c r="M25" s="312"/>
      <c r="N25" s="312"/>
      <c r="O25" s="312"/>
      <c r="P25" s="312"/>
      <c r="Q25" s="312"/>
      <c r="R25" s="312"/>
      <c r="S25" s="312"/>
      <c r="T25" s="312"/>
      <c r="U25" s="312"/>
      <c r="V25" s="311">
        <f>IF(D$6&lt;=$A$3,$B25*$B$3,0)</f>
        <v>0</v>
      </c>
      <c r="W25" s="311">
        <f>IF(E$6&lt;=$A$3,$B25*$B$3,0)</f>
        <v>0</v>
      </c>
    </row>
    <row r="26" spans="1:23" s="216" customFormat="1" ht="12.75">
      <c r="A26" s="306">
        <f t="shared" si="2"/>
        <v>20</v>
      </c>
      <c r="B26" s="311">
        <v>0</v>
      </c>
      <c r="C26" s="312">
        <f t="shared" si="3"/>
        <v>22309862</v>
      </c>
      <c r="D26" s="311"/>
      <c r="E26" s="311"/>
      <c r="F26" s="311"/>
      <c r="G26" s="311"/>
      <c r="H26" s="311"/>
      <c r="I26" s="311"/>
      <c r="J26" s="311"/>
      <c r="K26" s="311"/>
      <c r="L26" s="311"/>
      <c r="M26" s="312"/>
      <c r="N26" s="312"/>
      <c r="O26" s="312"/>
      <c r="P26" s="312"/>
      <c r="Q26" s="312"/>
      <c r="R26" s="312"/>
      <c r="S26" s="312"/>
      <c r="T26" s="312"/>
      <c r="U26" s="312"/>
      <c r="V26" s="312"/>
      <c r="W26" s="311">
        <f>IF(D$6&lt;=$A$3,$B26*$B$3,0)</f>
        <v>0</v>
      </c>
    </row>
    <row r="27" spans="1:23" s="216" customFormat="1" ht="12.75">
      <c r="A27" s="305"/>
      <c r="B27" s="311"/>
      <c r="C27" s="312"/>
      <c r="D27" s="311"/>
      <c r="E27" s="311"/>
      <c r="F27" s="311"/>
      <c r="G27" s="311"/>
      <c r="H27" s="311"/>
      <c r="I27" s="311"/>
      <c r="J27" s="311"/>
      <c r="K27" s="311"/>
      <c r="L27" s="311"/>
      <c r="M27" s="312"/>
      <c r="N27" s="312"/>
      <c r="O27" s="312"/>
      <c r="P27" s="312"/>
      <c r="Q27" s="312"/>
      <c r="R27" s="312"/>
      <c r="S27" s="312"/>
      <c r="T27" s="312"/>
      <c r="U27" s="312"/>
      <c r="V27" s="312"/>
      <c r="W27" s="312"/>
    </row>
    <row r="28" spans="1:23" s="216" customFormat="1" ht="12.75">
      <c r="B28" s="314" t="s">
        <v>374</v>
      </c>
      <c r="C28" s="312"/>
      <c r="D28" s="311">
        <f t="shared" ref="D28:W28" si="21">SUM(D7:D26)</f>
        <v>280379.5</v>
      </c>
      <c r="E28" s="311">
        <f t="shared" si="21"/>
        <v>1115493.1000000001</v>
      </c>
      <c r="F28" s="311">
        <f t="shared" si="21"/>
        <v>1115493.1000000001</v>
      </c>
      <c r="G28" s="311">
        <f t="shared" si="21"/>
        <v>1115493.1000000001</v>
      </c>
      <c r="H28" s="311">
        <f t="shared" si="21"/>
        <v>1115493.1000000001</v>
      </c>
      <c r="I28" s="311">
        <f t="shared" si="21"/>
        <v>1115493.1000000001</v>
      </c>
      <c r="J28" s="311">
        <f t="shared" si="21"/>
        <v>1115493.1000000001</v>
      </c>
      <c r="K28" s="311">
        <f t="shared" si="21"/>
        <v>1115493.1000000001</v>
      </c>
      <c r="L28" s="311">
        <f t="shared" si="21"/>
        <v>1115493.1000000001</v>
      </c>
      <c r="M28" s="311">
        <f t="shared" si="21"/>
        <v>1115493.1000000001</v>
      </c>
      <c r="N28" s="311">
        <f t="shared" si="21"/>
        <v>1115493.1000000001</v>
      </c>
      <c r="O28" s="311">
        <f t="shared" si="21"/>
        <v>1115493.1000000001</v>
      </c>
      <c r="P28" s="311">
        <f t="shared" si="21"/>
        <v>1115493.1000000001</v>
      </c>
      <c r="Q28" s="311">
        <f t="shared" si="21"/>
        <v>1115493.1000000001</v>
      </c>
      <c r="R28" s="311">
        <f t="shared" si="21"/>
        <v>1115493.1000000001</v>
      </c>
      <c r="S28" s="311">
        <f t="shared" si="21"/>
        <v>1115493.1000000001</v>
      </c>
      <c r="T28" s="311">
        <f t="shared" si="21"/>
        <v>1115493.1000000001</v>
      </c>
      <c r="U28" s="311">
        <f t="shared" si="21"/>
        <v>1115493.1000000001</v>
      </c>
      <c r="V28" s="311">
        <f>SUM(V7:V26)</f>
        <v>1115493.1000000001</v>
      </c>
      <c r="W28" s="311">
        <f t="shared" si="21"/>
        <v>1115493.1000000001</v>
      </c>
    </row>
    <row r="29" spans="1:23" s="216" customFormat="1" ht="12.75">
      <c r="B29" s="314" t="s">
        <v>375</v>
      </c>
      <c r="C29" s="312"/>
      <c r="D29" s="311">
        <f t="array" ref="D29:W29">TRANSPOSE(C7:C26)</f>
        <v>5607590</v>
      </c>
      <c r="E29" s="311">
        <v>22309862</v>
      </c>
      <c r="F29" s="311">
        <v>22309862</v>
      </c>
      <c r="G29" s="311">
        <v>22309862</v>
      </c>
      <c r="H29" s="311">
        <v>22309862</v>
      </c>
      <c r="I29" s="311">
        <v>22309862</v>
      </c>
      <c r="J29" s="311">
        <v>22309862</v>
      </c>
      <c r="K29" s="311">
        <v>22309862</v>
      </c>
      <c r="L29" s="311">
        <v>22309862</v>
      </c>
      <c r="M29" s="311">
        <v>22309862</v>
      </c>
      <c r="N29" s="311">
        <v>22309862</v>
      </c>
      <c r="O29" s="311">
        <v>22309862</v>
      </c>
      <c r="P29" s="311">
        <v>22309862</v>
      </c>
      <c r="Q29" s="311">
        <v>22309862</v>
      </c>
      <c r="R29" s="311">
        <v>22309862</v>
      </c>
      <c r="S29" s="311">
        <v>22309862</v>
      </c>
      <c r="T29" s="311">
        <v>22309862</v>
      </c>
      <c r="U29" s="311">
        <v>22309862</v>
      </c>
      <c r="V29" s="311">
        <v>22309862</v>
      </c>
      <c r="W29" s="311">
        <v>22309862</v>
      </c>
    </row>
    <row r="30" spans="1:23" s="216" customFormat="1" ht="12.75">
      <c r="B30" s="314" t="s">
        <v>376</v>
      </c>
      <c r="C30" s="312"/>
      <c r="D30" s="311">
        <f>+D28</f>
        <v>280379.5</v>
      </c>
      <c r="E30" s="311">
        <f>+E28+D30</f>
        <v>1395872.6</v>
      </c>
      <c r="F30" s="311">
        <f t="shared" ref="F30:W30" si="22">+F28+E30</f>
        <v>2511365.7000000002</v>
      </c>
      <c r="G30" s="311">
        <f t="shared" si="22"/>
        <v>3626858.8000000003</v>
      </c>
      <c r="H30" s="311">
        <f t="shared" si="22"/>
        <v>4742351.9000000004</v>
      </c>
      <c r="I30" s="311">
        <f t="shared" si="22"/>
        <v>5857845</v>
      </c>
      <c r="J30" s="311">
        <f t="shared" si="22"/>
        <v>6973338.0999999996</v>
      </c>
      <c r="K30" s="311">
        <f t="shared" si="22"/>
        <v>8088831.1999999993</v>
      </c>
      <c r="L30" s="311">
        <f t="shared" si="22"/>
        <v>9204324.2999999989</v>
      </c>
      <c r="M30" s="311">
        <f t="shared" si="22"/>
        <v>10319817.399999999</v>
      </c>
      <c r="N30" s="311">
        <f t="shared" si="22"/>
        <v>11435310.499999998</v>
      </c>
      <c r="O30" s="311">
        <f t="shared" si="22"/>
        <v>12550803.599999998</v>
      </c>
      <c r="P30" s="311">
        <f t="shared" si="22"/>
        <v>13666296.699999997</v>
      </c>
      <c r="Q30" s="311">
        <f t="shared" si="22"/>
        <v>14781789.799999997</v>
      </c>
      <c r="R30" s="311">
        <f t="shared" si="22"/>
        <v>15897282.899999997</v>
      </c>
      <c r="S30" s="311">
        <f t="shared" si="22"/>
        <v>17012775.999999996</v>
      </c>
      <c r="T30" s="311">
        <f t="shared" si="22"/>
        <v>18128269.099999998</v>
      </c>
      <c r="U30" s="311">
        <f t="shared" si="22"/>
        <v>19243762.199999999</v>
      </c>
      <c r="V30" s="311">
        <f t="shared" si="22"/>
        <v>20359255.300000001</v>
      </c>
      <c r="W30" s="311">
        <f t="shared" si="22"/>
        <v>21474748.400000002</v>
      </c>
    </row>
    <row r="31" spans="1:23" s="216" customFormat="1" ht="12.75">
      <c r="B31" s="314" t="s">
        <v>377</v>
      </c>
      <c r="C31" s="315"/>
      <c r="D31" s="315">
        <f>+D29-D30</f>
        <v>5327210.5</v>
      </c>
      <c r="E31" s="315">
        <f t="shared" ref="E31:W31" si="23">+E29-E30</f>
        <v>20913989.399999999</v>
      </c>
      <c r="F31" s="315">
        <f t="shared" si="23"/>
        <v>19798496.300000001</v>
      </c>
      <c r="G31" s="315">
        <f t="shared" si="23"/>
        <v>18683003.199999999</v>
      </c>
      <c r="H31" s="315">
        <f t="shared" si="23"/>
        <v>17567510.100000001</v>
      </c>
      <c r="I31" s="315">
        <f t="shared" si="23"/>
        <v>16452017</v>
      </c>
      <c r="J31" s="315">
        <f t="shared" si="23"/>
        <v>15336523.9</v>
      </c>
      <c r="K31" s="315">
        <f t="shared" si="23"/>
        <v>14221030.800000001</v>
      </c>
      <c r="L31" s="315">
        <f t="shared" si="23"/>
        <v>13105537.700000001</v>
      </c>
      <c r="M31" s="315">
        <f t="shared" si="23"/>
        <v>11990044.600000001</v>
      </c>
      <c r="N31" s="315">
        <f t="shared" si="23"/>
        <v>10874551.500000002</v>
      </c>
      <c r="O31" s="315">
        <f t="shared" si="23"/>
        <v>9759058.4000000022</v>
      </c>
      <c r="P31" s="315">
        <f t="shared" si="23"/>
        <v>8643565.3000000026</v>
      </c>
      <c r="Q31" s="315">
        <f t="shared" si="23"/>
        <v>7528072.200000003</v>
      </c>
      <c r="R31" s="315">
        <f t="shared" si="23"/>
        <v>6412579.1000000034</v>
      </c>
      <c r="S31" s="315">
        <f t="shared" si="23"/>
        <v>5297086.0000000037</v>
      </c>
      <c r="T31" s="315">
        <f t="shared" si="23"/>
        <v>4181592.9000000022</v>
      </c>
      <c r="U31" s="315">
        <f t="shared" si="23"/>
        <v>3066099.8000000007</v>
      </c>
      <c r="V31" s="315">
        <f t="shared" si="23"/>
        <v>1950606.6999999993</v>
      </c>
      <c r="W31" s="315">
        <f t="shared" si="23"/>
        <v>835113.59999999776</v>
      </c>
    </row>
    <row r="32" spans="1:23" ht="15.75">
      <c r="A32" s="316"/>
      <c r="B32" s="316"/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6"/>
      <c r="N32" s="316"/>
      <c r="O32" s="316"/>
      <c r="P32" s="316"/>
      <c r="Q32" s="316"/>
      <c r="R32" s="316"/>
      <c r="S32" s="316"/>
      <c r="T32" s="316"/>
      <c r="U32" s="316"/>
      <c r="V32" s="316"/>
      <c r="W32" s="316"/>
    </row>
  </sheetData>
  <mergeCells count="2">
    <mergeCell ref="D4:M4"/>
    <mergeCell ref="N4:W4"/>
  </mergeCells>
  <phoneticPr fontId="3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>
  <dimension ref="A1:X32"/>
  <sheetViews>
    <sheetView workbookViewId="0">
      <selection activeCell="L20" sqref="L20"/>
    </sheetView>
  </sheetViews>
  <sheetFormatPr defaultColWidth="8.85546875" defaultRowHeight="15"/>
  <cols>
    <col min="2" max="23" width="12.7109375" customWidth="1"/>
  </cols>
  <sheetData>
    <row r="1" spans="1:24">
      <c r="A1" s="165" t="s">
        <v>380</v>
      </c>
    </row>
    <row r="3" spans="1:24">
      <c r="A3" s="368">
        <v>5</v>
      </c>
      <c r="B3">
        <f>1/A3</f>
        <v>0.2</v>
      </c>
    </row>
    <row r="4" spans="1:24" s="216" customFormat="1" ht="12.75">
      <c r="A4" s="305"/>
      <c r="D4" s="742" t="s">
        <v>370</v>
      </c>
      <c r="E4" s="743"/>
      <c r="F4" s="743"/>
      <c r="G4" s="743"/>
      <c r="H4" s="743"/>
      <c r="I4" s="743"/>
      <c r="J4" s="743"/>
      <c r="K4" s="743"/>
      <c r="L4" s="743"/>
      <c r="M4" s="743"/>
      <c r="N4" s="742" t="s">
        <v>370</v>
      </c>
      <c r="O4" s="743"/>
      <c r="P4" s="743"/>
      <c r="Q4" s="743"/>
      <c r="R4" s="743"/>
      <c r="S4" s="743"/>
      <c r="T4" s="743"/>
      <c r="U4" s="743"/>
      <c r="V4" s="743"/>
      <c r="W4" s="743"/>
    </row>
    <row r="5" spans="1:24" s="216" customFormat="1" ht="12.75">
      <c r="A5" s="305"/>
      <c r="B5" s="306" t="s">
        <v>371</v>
      </c>
      <c r="C5" s="307" t="s">
        <v>372</v>
      </c>
      <c r="D5" s="308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</row>
    <row r="6" spans="1:24" s="216" customFormat="1" ht="12.75">
      <c r="A6" s="306" t="s">
        <v>172</v>
      </c>
      <c r="B6" s="306" t="s">
        <v>373</v>
      </c>
      <c r="C6" s="306" t="s">
        <v>373</v>
      </c>
      <c r="D6" s="310">
        <v>1</v>
      </c>
      <c r="E6" s="310">
        <f t="shared" ref="E6:W6" si="0">D6+1</f>
        <v>2</v>
      </c>
      <c r="F6" s="310">
        <f t="shared" si="0"/>
        <v>3</v>
      </c>
      <c r="G6" s="310">
        <f t="shared" si="0"/>
        <v>4</v>
      </c>
      <c r="H6" s="310">
        <f t="shared" si="0"/>
        <v>5</v>
      </c>
      <c r="I6" s="310">
        <f t="shared" si="0"/>
        <v>6</v>
      </c>
      <c r="J6" s="310">
        <f t="shared" si="0"/>
        <v>7</v>
      </c>
      <c r="K6" s="310">
        <f t="shared" si="0"/>
        <v>8</v>
      </c>
      <c r="L6" s="310">
        <f t="shared" si="0"/>
        <v>9</v>
      </c>
      <c r="M6" s="310">
        <f t="shared" si="0"/>
        <v>10</v>
      </c>
      <c r="N6" s="310">
        <f t="shared" si="0"/>
        <v>11</v>
      </c>
      <c r="O6" s="310">
        <f t="shared" si="0"/>
        <v>12</v>
      </c>
      <c r="P6" s="310">
        <f t="shared" si="0"/>
        <v>13</v>
      </c>
      <c r="Q6" s="310">
        <f t="shared" si="0"/>
        <v>14</v>
      </c>
      <c r="R6" s="310">
        <f t="shared" si="0"/>
        <v>15</v>
      </c>
      <c r="S6" s="310">
        <f t="shared" si="0"/>
        <v>16</v>
      </c>
      <c r="T6" s="310">
        <f t="shared" si="0"/>
        <v>17</v>
      </c>
      <c r="U6" s="310">
        <f t="shared" si="0"/>
        <v>18</v>
      </c>
      <c r="V6" s="310">
        <f t="shared" si="0"/>
        <v>19</v>
      </c>
      <c r="W6" s="310">
        <f t="shared" si="0"/>
        <v>20</v>
      </c>
    </row>
    <row r="7" spans="1:24" s="216" customFormat="1" ht="12.75">
      <c r="A7" s="306">
        <v>1</v>
      </c>
      <c r="B7" s="311">
        <f>+'Capital Additions'!B36</f>
        <v>2493351.06</v>
      </c>
      <c r="C7" s="312">
        <f>B7</f>
        <v>2493351.06</v>
      </c>
      <c r="D7" s="311">
        <f>IF(D$6&lt;=$A$3,$B7*$B$3,0)</f>
        <v>498670.21200000006</v>
      </c>
      <c r="E7" s="311">
        <f t="shared" ref="E7:W7" si="1">IF(E$6&lt;=$A$3,$B7*$B$3,0)</f>
        <v>498670.21200000006</v>
      </c>
      <c r="F7" s="311">
        <f t="shared" si="1"/>
        <v>498670.21200000006</v>
      </c>
      <c r="G7" s="311">
        <f t="shared" si="1"/>
        <v>498670.21200000006</v>
      </c>
      <c r="H7" s="311">
        <f t="shared" si="1"/>
        <v>498670.21200000006</v>
      </c>
      <c r="I7" s="311">
        <f t="shared" si="1"/>
        <v>0</v>
      </c>
      <c r="J7" s="311">
        <f t="shared" si="1"/>
        <v>0</v>
      </c>
      <c r="K7" s="311">
        <f t="shared" si="1"/>
        <v>0</v>
      </c>
      <c r="L7" s="311">
        <f t="shared" si="1"/>
        <v>0</v>
      </c>
      <c r="M7" s="311">
        <f t="shared" si="1"/>
        <v>0</v>
      </c>
      <c r="N7" s="311">
        <f t="shared" si="1"/>
        <v>0</v>
      </c>
      <c r="O7" s="311">
        <f t="shared" si="1"/>
        <v>0</v>
      </c>
      <c r="P7" s="311">
        <f t="shared" si="1"/>
        <v>0</v>
      </c>
      <c r="Q7" s="311">
        <f t="shared" si="1"/>
        <v>0</v>
      </c>
      <c r="R7" s="311">
        <f t="shared" si="1"/>
        <v>0</v>
      </c>
      <c r="S7" s="311">
        <f t="shared" si="1"/>
        <v>0</v>
      </c>
      <c r="T7" s="311">
        <f t="shared" si="1"/>
        <v>0</v>
      </c>
      <c r="U7" s="311">
        <f t="shared" si="1"/>
        <v>0</v>
      </c>
      <c r="V7" s="311">
        <f t="shared" si="1"/>
        <v>0</v>
      </c>
      <c r="W7" s="311">
        <f t="shared" si="1"/>
        <v>0</v>
      </c>
      <c r="X7" s="313"/>
    </row>
    <row r="8" spans="1:24" s="216" customFormat="1" ht="12.75">
      <c r="A8" s="306">
        <f t="shared" ref="A8:A26" si="2">A7+1</f>
        <v>2</v>
      </c>
      <c r="B8" s="311">
        <f>+'Capital Additions'!C36</f>
        <v>4594545</v>
      </c>
      <c r="C8" s="312">
        <f t="shared" ref="C8:C26" si="3">C7+B8</f>
        <v>7087896.0600000005</v>
      </c>
      <c r="D8" s="311"/>
      <c r="E8" s="311">
        <f>IF(D$6&lt;=$A$3,$B8*$B$3,0)</f>
        <v>918909</v>
      </c>
      <c r="F8" s="311">
        <f t="shared" ref="F8:W8" si="4">IF(E$6&lt;=$A$3,$B8*$B$3,0)</f>
        <v>918909</v>
      </c>
      <c r="G8" s="311">
        <f t="shared" si="4"/>
        <v>918909</v>
      </c>
      <c r="H8" s="311">
        <f t="shared" si="4"/>
        <v>918909</v>
      </c>
      <c r="I8" s="311">
        <f t="shared" si="4"/>
        <v>918909</v>
      </c>
      <c r="J8" s="311">
        <f t="shared" si="4"/>
        <v>0</v>
      </c>
      <c r="K8" s="311">
        <f t="shared" si="4"/>
        <v>0</v>
      </c>
      <c r="L8" s="311">
        <f t="shared" si="4"/>
        <v>0</v>
      </c>
      <c r="M8" s="311">
        <f t="shared" si="4"/>
        <v>0</v>
      </c>
      <c r="N8" s="311">
        <f t="shared" si="4"/>
        <v>0</v>
      </c>
      <c r="O8" s="311">
        <f t="shared" si="4"/>
        <v>0</v>
      </c>
      <c r="P8" s="311">
        <f t="shared" si="4"/>
        <v>0</v>
      </c>
      <c r="Q8" s="311">
        <f t="shared" si="4"/>
        <v>0</v>
      </c>
      <c r="R8" s="311">
        <f t="shared" si="4"/>
        <v>0</v>
      </c>
      <c r="S8" s="311">
        <f t="shared" si="4"/>
        <v>0</v>
      </c>
      <c r="T8" s="311">
        <f t="shared" si="4"/>
        <v>0</v>
      </c>
      <c r="U8" s="311">
        <f t="shared" si="4"/>
        <v>0</v>
      </c>
      <c r="V8" s="311">
        <f t="shared" si="4"/>
        <v>0</v>
      </c>
      <c r="W8" s="311">
        <f t="shared" si="4"/>
        <v>0</v>
      </c>
    </row>
    <row r="9" spans="1:24" s="216" customFormat="1" ht="12.75">
      <c r="A9" s="306">
        <f t="shared" si="2"/>
        <v>3</v>
      </c>
      <c r="B9" s="311">
        <f>+'Capital Additions'!D36</f>
        <v>31664</v>
      </c>
      <c r="C9" s="312">
        <f t="shared" si="3"/>
        <v>7119560.0600000005</v>
      </c>
      <c r="D9" s="311"/>
      <c r="E9" s="311"/>
      <c r="F9" s="311">
        <f>IF(D$6&lt;=$A$3,$B9*$B$3,0)</f>
        <v>6332.8</v>
      </c>
      <c r="G9" s="311">
        <f t="shared" ref="G9:W9" si="5">IF(E$6&lt;=$A$3,$B9*$B$3,0)</f>
        <v>6332.8</v>
      </c>
      <c r="H9" s="311">
        <f t="shared" si="5"/>
        <v>6332.8</v>
      </c>
      <c r="I9" s="311">
        <f t="shared" si="5"/>
        <v>6332.8</v>
      </c>
      <c r="J9" s="311">
        <f t="shared" si="5"/>
        <v>6332.8</v>
      </c>
      <c r="K9" s="311">
        <f t="shared" si="5"/>
        <v>0</v>
      </c>
      <c r="L9" s="311">
        <f t="shared" si="5"/>
        <v>0</v>
      </c>
      <c r="M9" s="311">
        <f t="shared" si="5"/>
        <v>0</v>
      </c>
      <c r="N9" s="311">
        <f t="shared" si="5"/>
        <v>0</v>
      </c>
      <c r="O9" s="311">
        <f t="shared" si="5"/>
        <v>0</v>
      </c>
      <c r="P9" s="311">
        <f t="shared" si="5"/>
        <v>0</v>
      </c>
      <c r="Q9" s="311">
        <f t="shared" si="5"/>
        <v>0</v>
      </c>
      <c r="R9" s="311">
        <f t="shared" si="5"/>
        <v>0</v>
      </c>
      <c r="S9" s="311">
        <f t="shared" si="5"/>
        <v>0</v>
      </c>
      <c r="T9" s="311">
        <f t="shared" si="5"/>
        <v>0</v>
      </c>
      <c r="U9" s="311">
        <f t="shared" si="5"/>
        <v>0</v>
      </c>
      <c r="V9" s="311">
        <f t="shared" si="5"/>
        <v>0</v>
      </c>
      <c r="W9" s="311">
        <f t="shared" si="5"/>
        <v>0</v>
      </c>
    </row>
    <row r="10" spans="1:24" s="216" customFormat="1" ht="12.75">
      <c r="A10" s="306">
        <f t="shared" si="2"/>
        <v>4</v>
      </c>
      <c r="B10" s="311">
        <f>+'Capital Additions'!E36</f>
        <v>31664</v>
      </c>
      <c r="C10" s="312">
        <f t="shared" si="3"/>
        <v>7151224.0600000005</v>
      </c>
      <c r="D10" s="311"/>
      <c r="E10" s="311"/>
      <c r="F10" s="311"/>
      <c r="G10" s="311">
        <f>IF(D$6&lt;=$A$3,$B10*$B$3,0)</f>
        <v>6332.8</v>
      </c>
      <c r="H10" s="311">
        <f t="shared" ref="H10:W10" si="6">IF(E$6&lt;=$A$3,$B10*$B$3,0)</f>
        <v>6332.8</v>
      </c>
      <c r="I10" s="311">
        <f t="shared" si="6"/>
        <v>6332.8</v>
      </c>
      <c r="J10" s="311">
        <f t="shared" si="6"/>
        <v>6332.8</v>
      </c>
      <c r="K10" s="311">
        <f t="shared" si="6"/>
        <v>6332.8</v>
      </c>
      <c r="L10" s="311">
        <f t="shared" si="6"/>
        <v>0</v>
      </c>
      <c r="M10" s="311">
        <f t="shared" si="6"/>
        <v>0</v>
      </c>
      <c r="N10" s="311">
        <f t="shared" si="6"/>
        <v>0</v>
      </c>
      <c r="O10" s="311">
        <f t="shared" si="6"/>
        <v>0</v>
      </c>
      <c r="P10" s="311">
        <f t="shared" si="6"/>
        <v>0</v>
      </c>
      <c r="Q10" s="311">
        <f t="shared" si="6"/>
        <v>0</v>
      </c>
      <c r="R10" s="311">
        <f t="shared" si="6"/>
        <v>0</v>
      </c>
      <c r="S10" s="311">
        <f t="shared" si="6"/>
        <v>0</v>
      </c>
      <c r="T10" s="311">
        <f t="shared" si="6"/>
        <v>0</v>
      </c>
      <c r="U10" s="311">
        <f t="shared" si="6"/>
        <v>0</v>
      </c>
      <c r="V10" s="311">
        <f t="shared" si="6"/>
        <v>0</v>
      </c>
      <c r="W10" s="311">
        <f t="shared" si="6"/>
        <v>0</v>
      </c>
    </row>
    <row r="11" spans="1:24" s="216" customFormat="1" ht="12.75">
      <c r="A11" s="306">
        <f t="shared" si="2"/>
        <v>5</v>
      </c>
      <c r="B11" s="311">
        <f>+'Capital Additions'!F36</f>
        <v>0</v>
      </c>
      <c r="C11" s="312">
        <f t="shared" si="3"/>
        <v>7151224.0600000005</v>
      </c>
      <c r="D11" s="311"/>
      <c r="E11" s="311"/>
      <c r="F11" s="311"/>
      <c r="G11" s="311"/>
      <c r="H11" s="311">
        <f>IF(D$6&lt;=$A$3,$B11*$B$3,0)</f>
        <v>0</v>
      </c>
      <c r="I11" s="311">
        <f t="shared" ref="I11:W11" si="7">IF(E$6&lt;=$A$3,$B11*$B$3,0)</f>
        <v>0</v>
      </c>
      <c r="J11" s="311">
        <f t="shared" si="7"/>
        <v>0</v>
      </c>
      <c r="K11" s="311">
        <f t="shared" si="7"/>
        <v>0</v>
      </c>
      <c r="L11" s="311">
        <f t="shared" si="7"/>
        <v>0</v>
      </c>
      <c r="M11" s="311">
        <f t="shared" si="7"/>
        <v>0</v>
      </c>
      <c r="N11" s="311">
        <f t="shared" si="7"/>
        <v>0</v>
      </c>
      <c r="O11" s="311">
        <f t="shared" si="7"/>
        <v>0</v>
      </c>
      <c r="P11" s="311">
        <f t="shared" si="7"/>
        <v>0</v>
      </c>
      <c r="Q11" s="311">
        <f t="shared" si="7"/>
        <v>0</v>
      </c>
      <c r="R11" s="311">
        <f t="shared" si="7"/>
        <v>0</v>
      </c>
      <c r="S11" s="311">
        <f t="shared" si="7"/>
        <v>0</v>
      </c>
      <c r="T11" s="311">
        <f t="shared" si="7"/>
        <v>0</v>
      </c>
      <c r="U11" s="311">
        <f t="shared" si="7"/>
        <v>0</v>
      </c>
      <c r="V11" s="311">
        <f t="shared" si="7"/>
        <v>0</v>
      </c>
      <c r="W11" s="311">
        <f t="shared" si="7"/>
        <v>0</v>
      </c>
    </row>
    <row r="12" spans="1:24" s="216" customFormat="1" ht="12.75">
      <c r="A12" s="306">
        <f t="shared" si="2"/>
        <v>6</v>
      </c>
      <c r="B12" s="311">
        <v>0</v>
      </c>
      <c r="C12" s="312">
        <f t="shared" si="3"/>
        <v>7151224.0600000005</v>
      </c>
      <c r="D12" s="311"/>
      <c r="E12" s="311"/>
      <c r="F12" s="311"/>
      <c r="G12" s="311"/>
      <c r="H12" s="311"/>
      <c r="I12" s="311">
        <f>IF(D$6&lt;=$A$3,$B12*$B$3,0)</f>
        <v>0</v>
      </c>
      <c r="J12" s="311">
        <f t="shared" ref="J12:W12" si="8">IF(E$6&lt;=$A$3,$B12*$B$3,0)</f>
        <v>0</v>
      </c>
      <c r="K12" s="311">
        <f t="shared" si="8"/>
        <v>0</v>
      </c>
      <c r="L12" s="311">
        <f t="shared" si="8"/>
        <v>0</v>
      </c>
      <c r="M12" s="311">
        <f t="shared" si="8"/>
        <v>0</v>
      </c>
      <c r="N12" s="311">
        <f t="shared" si="8"/>
        <v>0</v>
      </c>
      <c r="O12" s="311">
        <f t="shared" si="8"/>
        <v>0</v>
      </c>
      <c r="P12" s="311">
        <f t="shared" si="8"/>
        <v>0</v>
      </c>
      <c r="Q12" s="311">
        <f t="shared" si="8"/>
        <v>0</v>
      </c>
      <c r="R12" s="311">
        <f t="shared" si="8"/>
        <v>0</v>
      </c>
      <c r="S12" s="311">
        <f t="shared" si="8"/>
        <v>0</v>
      </c>
      <c r="T12" s="311">
        <f t="shared" si="8"/>
        <v>0</v>
      </c>
      <c r="U12" s="311">
        <f t="shared" si="8"/>
        <v>0</v>
      </c>
      <c r="V12" s="311">
        <f t="shared" si="8"/>
        <v>0</v>
      </c>
      <c r="W12" s="311">
        <f t="shared" si="8"/>
        <v>0</v>
      </c>
    </row>
    <row r="13" spans="1:24" s="216" customFormat="1" ht="12.75">
      <c r="A13" s="306">
        <f t="shared" si="2"/>
        <v>7</v>
      </c>
      <c r="B13" s="311">
        <v>0</v>
      </c>
      <c r="C13" s="312">
        <f t="shared" si="3"/>
        <v>7151224.0600000005</v>
      </c>
      <c r="D13" s="311"/>
      <c r="E13" s="311"/>
      <c r="F13" s="311"/>
      <c r="G13" s="311"/>
      <c r="H13" s="311"/>
      <c r="I13" s="311"/>
      <c r="J13" s="311">
        <f>IF(D$6&lt;=$A$3,$B13*$B$3,0)</f>
        <v>0</v>
      </c>
      <c r="K13" s="311">
        <f t="shared" ref="K13:W13" si="9">IF(E$6&lt;=$A$3,$B13*$B$3,0)</f>
        <v>0</v>
      </c>
      <c r="L13" s="311">
        <f t="shared" si="9"/>
        <v>0</v>
      </c>
      <c r="M13" s="311">
        <f t="shared" si="9"/>
        <v>0</v>
      </c>
      <c r="N13" s="311">
        <f t="shared" si="9"/>
        <v>0</v>
      </c>
      <c r="O13" s="311">
        <f t="shared" si="9"/>
        <v>0</v>
      </c>
      <c r="P13" s="311">
        <f t="shared" si="9"/>
        <v>0</v>
      </c>
      <c r="Q13" s="311">
        <f t="shared" si="9"/>
        <v>0</v>
      </c>
      <c r="R13" s="311">
        <f t="shared" si="9"/>
        <v>0</v>
      </c>
      <c r="S13" s="311">
        <f t="shared" si="9"/>
        <v>0</v>
      </c>
      <c r="T13" s="311">
        <f t="shared" si="9"/>
        <v>0</v>
      </c>
      <c r="U13" s="311">
        <f t="shared" si="9"/>
        <v>0</v>
      </c>
      <c r="V13" s="311">
        <f t="shared" si="9"/>
        <v>0</v>
      </c>
      <c r="W13" s="311">
        <f t="shared" si="9"/>
        <v>0</v>
      </c>
    </row>
    <row r="14" spans="1:24" s="216" customFormat="1" ht="12.75">
      <c r="A14" s="306">
        <f t="shared" si="2"/>
        <v>8</v>
      </c>
      <c r="B14" s="311">
        <v>0</v>
      </c>
      <c r="C14" s="312">
        <f t="shared" si="3"/>
        <v>7151224.0600000005</v>
      </c>
      <c r="D14" s="311"/>
      <c r="E14" s="311"/>
      <c r="F14" s="311"/>
      <c r="G14" s="311"/>
      <c r="H14" s="311"/>
      <c r="I14" s="311"/>
      <c r="J14" s="311"/>
      <c r="K14" s="311">
        <f>IF(D$6&lt;=$A$3,$B14*$B$3,0)</f>
        <v>0</v>
      </c>
      <c r="L14" s="311">
        <f t="shared" ref="L14:W14" si="10">IF(E$6&lt;=$A$3,$B14*$B$3,0)</f>
        <v>0</v>
      </c>
      <c r="M14" s="311">
        <f t="shared" si="10"/>
        <v>0</v>
      </c>
      <c r="N14" s="311">
        <f t="shared" si="10"/>
        <v>0</v>
      </c>
      <c r="O14" s="311">
        <f t="shared" si="10"/>
        <v>0</v>
      </c>
      <c r="P14" s="311">
        <f t="shared" si="10"/>
        <v>0</v>
      </c>
      <c r="Q14" s="311">
        <f t="shared" si="10"/>
        <v>0</v>
      </c>
      <c r="R14" s="311">
        <f t="shared" si="10"/>
        <v>0</v>
      </c>
      <c r="S14" s="311">
        <f t="shared" si="10"/>
        <v>0</v>
      </c>
      <c r="T14" s="311">
        <f t="shared" si="10"/>
        <v>0</v>
      </c>
      <c r="U14" s="311">
        <f t="shared" si="10"/>
        <v>0</v>
      </c>
      <c r="V14" s="311">
        <f t="shared" si="10"/>
        <v>0</v>
      </c>
      <c r="W14" s="311">
        <f t="shared" si="10"/>
        <v>0</v>
      </c>
    </row>
    <row r="15" spans="1:24" s="216" customFormat="1" ht="12.75">
      <c r="A15" s="306">
        <f t="shared" si="2"/>
        <v>9</v>
      </c>
      <c r="B15" s="311">
        <v>0</v>
      </c>
      <c r="C15" s="312">
        <f t="shared" si="3"/>
        <v>7151224.0600000005</v>
      </c>
      <c r="D15" s="311"/>
      <c r="E15" s="311"/>
      <c r="F15" s="311"/>
      <c r="G15" s="311"/>
      <c r="H15" s="311"/>
      <c r="I15" s="311"/>
      <c r="J15" s="311"/>
      <c r="K15" s="311"/>
      <c r="L15" s="311">
        <f>IF(D$6&lt;=$A$3,$B15*$B$3,0)</f>
        <v>0</v>
      </c>
      <c r="M15" s="311">
        <f t="shared" ref="M15:W15" si="11">IF(E$6&lt;=$A$3,$B15*$B$3,0)</f>
        <v>0</v>
      </c>
      <c r="N15" s="311">
        <f t="shared" si="11"/>
        <v>0</v>
      </c>
      <c r="O15" s="311">
        <f t="shared" si="11"/>
        <v>0</v>
      </c>
      <c r="P15" s="311">
        <f t="shared" si="11"/>
        <v>0</v>
      </c>
      <c r="Q15" s="311">
        <f t="shared" si="11"/>
        <v>0</v>
      </c>
      <c r="R15" s="311">
        <f t="shared" si="11"/>
        <v>0</v>
      </c>
      <c r="S15" s="311">
        <f t="shared" si="11"/>
        <v>0</v>
      </c>
      <c r="T15" s="311">
        <f t="shared" si="11"/>
        <v>0</v>
      </c>
      <c r="U15" s="311">
        <f t="shared" si="11"/>
        <v>0</v>
      </c>
      <c r="V15" s="311">
        <f t="shared" si="11"/>
        <v>0</v>
      </c>
      <c r="W15" s="311">
        <f t="shared" si="11"/>
        <v>0</v>
      </c>
    </row>
    <row r="16" spans="1:24" s="216" customFormat="1" ht="12.75">
      <c r="A16" s="306">
        <f t="shared" si="2"/>
        <v>10</v>
      </c>
      <c r="B16" s="311">
        <v>0</v>
      </c>
      <c r="C16" s="312">
        <f t="shared" si="3"/>
        <v>7151224.0600000005</v>
      </c>
      <c r="D16" s="311"/>
      <c r="E16" s="311"/>
      <c r="F16" s="311"/>
      <c r="G16" s="311"/>
      <c r="H16" s="311"/>
      <c r="I16" s="311"/>
      <c r="J16" s="311"/>
      <c r="K16" s="311"/>
      <c r="L16" s="311"/>
      <c r="M16" s="311">
        <f>IF(D$6&lt;=$A$3,$B16*$B$3,0)</f>
        <v>0</v>
      </c>
      <c r="N16" s="311">
        <f t="shared" ref="N16:W16" si="12">IF(E$6&lt;=$A$3,$B16*$B$3,0)</f>
        <v>0</v>
      </c>
      <c r="O16" s="311">
        <f t="shared" si="12"/>
        <v>0</v>
      </c>
      <c r="P16" s="311">
        <f t="shared" si="12"/>
        <v>0</v>
      </c>
      <c r="Q16" s="311">
        <f t="shared" si="12"/>
        <v>0</v>
      </c>
      <c r="R16" s="311">
        <f t="shared" si="12"/>
        <v>0</v>
      </c>
      <c r="S16" s="311">
        <f t="shared" si="12"/>
        <v>0</v>
      </c>
      <c r="T16" s="311">
        <f t="shared" si="12"/>
        <v>0</v>
      </c>
      <c r="U16" s="311">
        <f t="shared" si="12"/>
        <v>0</v>
      </c>
      <c r="V16" s="311">
        <f t="shared" si="12"/>
        <v>0</v>
      </c>
      <c r="W16" s="311">
        <f t="shared" si="12"/>
        <v>0</v>
      </c>
    </row>
    <row r="17" spans="1:23" s="216" customFormat="1" ht="12.75">
      <c r="A17" s="306">
        <f t="shared" si="2"/>
        <v>11</v>
      </c>
      <c r="B17" s="311">
        <v>0</v>
      </c>
      <c r="C17" s="312">
        <f t="shared" si="3"/>
        <v>7151224.0600000005</v>
      </c>
      <c r="D17" s="311"/>
      <c r="E17" s="311"/>
      <c r="F17" s="311"/>
      <c r="G17" s="311"/>
      <c r="H17" s="311"/>
      <c r="I17" s="311"/>
      <c r="J17" s="311"/>
      <c r="K17" s="311"/>
      <c r="L17" s="311"/>
      <c r="M17" s="312"/>
      <c r="N17" s="311">
        <f>IF(D$6&lt;=$A$3,$B17*$B$3,0)</f>
        <v>0</v>
      </c>
      <c r="O17" s="311">
        <f t="shared" ref="O17:W17" si="13">IF(E$6&lt;=$A$3,$B17*$B$3,0)</f>
        <v>0</v>
      </c>
      <c r="P17" s="311">
        <f t="shared" si="13"/>
        <v>0</v>
      </c>
      <c r="Q17" s="311">
        <f t="shared" si="13"/>
        <v>0</v>
      </c>
      <c r="R17" s="311">
        <f t="shared" si="13"/>
        <v>0</v>
      </c>
      <c r="S17" s="311">
        <f t="shared" si="13"/>
        <v>0</v>
      </c>
      <c r="T17" s="311">
        <f t="shared" si="13"/>
        <v>0</v>
      </c>
      <c r="U17" s="311">
        <f t="shared" si="13"/>
        <v>0</v>
      </c>
      <c r="V17" s="311">
        <f t="shared" si="13"/>
        <v>0</v>
      </c>
      <c r="W17" s="311">
        <f t="shared" si="13"/>
        <v>0</v>
      </c>
    </row>
    <row r="18" spans="1:23" s="216" customFormat="1" ht="12.75">
      <c r="A18" s="306">
        <f t="shared" si="2"/>
        <v>12</v>
      </c>
      <c r="B18" s="311">
        <v>0</v>
      </c>
      <c r="C18" s="312">
        <f t="shared" si="3"/>
        <v>7151224.0600000005</v>
      </c>
      <c r="D18" s="311"/>
      <c r="E18" s="311"/>
      <c r="F18" s="311"/>
      <c r="G18" s="311"/>
      <c r="H18" s="311"/>
      <c r="I18" s="311"/>
      <c r="J18" s="311"/>
      <c r="K18" s="311"/>
      <c r="L18" s="311"/>
      <c r="M18" s="312"/>
      <c r="N18" s="312"/>
      <c r="O18" s="311">
        <f>IF(D$6&lt;=$A$3,$B18*$B$3,0)</f>
        <v>0</v>
      </c>
      <c r="P18" s="311">
        <f t="shared" ref="P18:W18" si="14">IF(E$6&lt;=$A$3,$B18*$B$3,0)</f>
        <v>0</v>
      </c>
      <c r="Q18" s="311">
        <f t="shared" si="14"/>
        <v>0</v>
      </c>
      <c r="R18" s="311">
        <f t="shared" si="14"/>
        <v>0</v>
      </c>
      <c r="S18" s="311">
        <f t="shared" si="14"/>
        <v>0</v>
      </c>
      <c r="T18" s="311">
        <f t="shared" si="14"/>
        <v>0</v>
      </c>
      <c r="U18" s="311">
        <f t="shared" si="14"/>
        <v>0</v>
      </c>
      <c r="V18" s="311">
        <f t="shared" si="14"/>
        <v>0</v>
      </c>
      <c r="W18" s="311">
        <f t="shared" si="14"/>
        <v>0</v>
      </c>
    </row>
    <row r="19" spans="1:23" s="216" customFormat="1" ht="12.75">
      <c r="A19" s="306">
        <f t="shared" si="2"/>
        <v>13</v>
      </c>
      <c r="B19" s="311">
        <v>0</v>
      </c>
      <c r="C19" s="312">
        <f t="shared" si="3"/>
        <v>7151224.0600000005</v>
      </c>
      <c r="D19" s="311"/>
      <c r="E19" s="311"/>
      <c r="F19" s="311"/>
      <c r="G19" s="311"/>
      <c r="H19" s="311"/>
      <c r="I19" s="311"/>
      <c r="J19" s="311"/>
      <c r="K19" s="311"/>
      <c r="L19" s="311"/>
      <c r="M19" s="312"/>
      <c r="N19" s="312"/>
      <c r="O19" s="312"/>
      <c r="P19" s="311">
        <f>IF(D$6&lt;=$A$3,$B19*$B$3,0)</f>
        <v>0</v>
      </c>
      <c r="Q19" s="311">
        <f t="shared" ref="Q19:W19" si="15">IF(E$6&lt;=$A$3,$B19*$B$3,0)</f>
        <v>0</v>
      </c>
      <c r="R19" s="311">
        <f t="shared" si="15"/>
        <v>0</v>
      </c>
      <c r="S19" s="311">
        <f t="shared" si="15"/>
        <v>0</v>
      </c>
      <c r="T19" s="311">
        <f t="shared" si="15"/>
        <v>0</v>
      </c>
      <c r="U19" s="311">
        <f t="shared" si="15"/>
        <v>0</v>
      </c>
      <c r="V19" s="311">
        <f t="shared" si="15"/>
        <v>0</v>
      </c>
      <c r="W19" s="311">
        <f t="shared" si="15"/>
        <v>0</v>
      </c>
    </row>
    <row r="20" spans="1:23" s="216" customFormat="1" ht="12.75">
      <c r="A20" s="306">
        <f t="shared" si="2"/>
        <v>14</v>
      </c>
      <c r="B20" s="311">
        <v>0</v>
      </c>
      <c r="C20" s="312">
        <f t="shared" si="3"/>
        <v>7151224.0600000005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2"/>
      <c r="N20" s="312"/>
      <c r="O20" s="312"/>
      <c r="P20" s="312"/>
      <c r="Q20" s="311">
        <f>IF(D$6&lt;=$A$3,$B20*$B$3,0)</f>
        <v>0</v>
      </c>
      <c r="R20" s="311">
        <f t="shared" ref="R20:W20" si="16">IF(E$6&lt;=$A$3,$B20*$B$3,0)</f>
        <v>0</v>
      </c>
      <c r="S20" s="311">
        <f t="shared" si="16"/>
        <v>0</v>
      </c>
      <c r="T20" s="311">
        <f t="shared" si="16"/>
        <v>0</v>
      </c>
      <c r="U20" s="311">
        <f t="shared" si="16"/>
        <v>0</v>
      </c>
      <c r="V20" s="311">
        <f t="shared" si="16"/>
        <v>0</v>
      </c>
      <c r="W20" s="311">
        <f t="shared" si="16"/>
        <v>0</v>
      </c>
    </row>
    <row r="21" spans="1:23" s="216" customFormat="1" ht="12.75">
      <c r="A21" s="306">
        <f t="shared" si="2"/>
        <v>15</v>
      </c>
      <c r="B21" s="311">
        <v>0</v>
      </c>
      <c r="C21" s="312">
        <f t="shared" si="3"/>
        <v>7151224.0600000005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2"/>
      <c r="N21" s="312"/>
      <c r="O21" s="312"/>
      <c r="P21" s="312"/>
      <c r="Q21" s="312"/>
      <c r="R21" s="311">
        <f>IF(D$6&lt;=$A$3,$B21*$B$3,0)</f>
        <v>0</v>
      </c>
      <c r="S21" s="311">
        <f t="shared" ref="S21:W21" si="17">IF(E$6&lt;=$A$3,$B21*$B$3,0)</f>
        <v>0</v>
      </c>
      <c r="T21" s="311">
        <f t="shared" si="17"/>
        <v>0</v>
      </c>
      <c r="U21" s="311">
        <f t="shared" si="17"/>
        <v>0</v>
      </c>
      <c r="V21" s="311">
        <f t="shared" si="17"/>
        <v>0</v>
      </c>
      <c r="W21" s="311">
        <f t="shared" si="17"/>
        <v>0</v>
      </c>
    </row>
    <row r="22" spans="1:23" s="216" customFormat="1" ht="12.75">
      <c r="A22" s="306">
        <f t="shared" si="2"/>
        <v>16</v>
      </c>
      <c r="B22" s="311">
        <v>0</v>
      </c>
      <c r="C22" s="312">
        <f t="shared" si="3"/>
        <v>7151224.0600000005</v>
      </c>
      <c r="D22" s="311"/>
      <c r="E22" s="311"/>
      <c r="F22" s="311"/>
      <c r="G22" s="311"/>
      <c r="H22" s="311"/>
      <c r="I22" s="311"/>
      <c r="J22" s="311"/>
      <c r="K22" s="311"/>
      <c r="L22" s="311"/>
      <c r="M22" s="312"/>
      <c r="N22" s="312"/>
      <c r="O22" s="312"/>
      <c r="P22" s="312"/>
      <c r="Q22" s="312"/>
      <c r="R22" s="312"/>
      <c r="S22" s="311">
        <f>IF(D$6&lt;=$A$3,$B22*$B$3,0)</f>
        <v>0</v>
      </c>
      <c r="T22" s="311">
        <f t="shared" ref="T22:W22" si="18">IF(E$6&lt;=$A$3,$B22*$B$3,0)</f>
        <v>0</v>
      </c>
      <c r="U22" s="311">
        <f t="shared" si="18"/>
        <v>0</v>
      </c>
      <c r="V22" s="311">
        <f t="shared" si="18"/>
        <v>0</v>
      </c>
      <c r="W22" s="311">
        <f t="shared" si="18"/>
        <v>0</v>
      </c>
    </row>
    <row r="23" spans="1:23" s="216" customFormat="1" ht="12.75">
      <c r="A23" s="306">
        <f t="shared" si="2"/>
        <v>17</v>
      </c>
      <c r="B23" s="311">
        <v>0</v>
      </c>
      <c r="C23" s="312">
        <f t="shared" si="3"/>
        <v>7151224.0600000005</v>
      </c>
      <c r="D23" s="311"/>
      <c r="E23" s="311"/>
      <c r="F23" s="311"/>
      <c r="G23" s="311"/>
      <c r="H23" s="311"/>
      <c r="I23" s="311"/>
      <c r="J23" s="311"/>
      <c r="K23" s="311"/>
      <c r="L23" s="311"/>
      <c r="M23" s="312"/>
      <c r="N23" s="312"/>
      <c r="O23" s="312"/>
      <c r="P23" s="312"/>
      <c r="Q23" s="312"/>
      <c r="R23" s="312"/>
      <c r="S23" s="312"/>
      <c r="T23" s="311">
        <f>IF(D$6&lt;=$A$3,$B23*$B$3,0)</f>
        <v>0</v>
      </c>
      <c r="U23" s="311">
        <f t="shared" ref="U23:W23" si="19">IF(E$6&lt;=$A$3,$B23*$B$3,0)</f>
        <v>0</v>
      </c>
      <c r="V23" s="311">
        <f t="shared" si="19"/>
        <v>0</v>
      </c>
      <c r="W23" s="311">
        <f t="shared" si="19"/>
        <v>0</v>
      </c>
    </row>
    <row r="24" spans="1:23" s="216" customFormat="1" ht="12.75">
      <c r="A24" s="306">
        <f t="shared" si="2"/>
        <v>18</v>
      </c>
      <c r="B24" s="311">
        <v>0</v>
      </c>
      <c r="C24" s="312">
        <f t="shared" si="3"/>
        <v>7151224.0600000005</v>
      </c>
      <c r="D24" s="311"/>
      <c r="E24" s="311"/>
      <c r="F24" s="311"/>
      <c r="G24" s="311"/>
      <c r="H24" s="311"/>
      <c r="I24" s="311"/>
      <c r="J24" s="311"/>
      <c r="K24" s="311"/>
      <c r="L24" s="311"/>
      <c r="M24" s="312"/>
      <c r="N24" s="312"/>
      <c r="O24" s="312"/>
      <c r="P24" s="312"/>
      <c r="Q24" s="312"/>
      <c r="R24" s="312"/>
      <c r="S24" s="312"/>
      <c r="T24" s="312"/>
      <c r="U24" s="311">
        <f>IF(D$6&lt;=$A$3,$B24*$B$3,0)</f>
        <v>0</v>
      </c>
      <c r="V24" s="311">
        <f t="shared" ref="V24:W24" si="20">IF(E$6&lt;=$A$3,$B24*$B$3,0)</f>
        <v>0</v>
      </c>
      <c r="W24" s="311">
        <f t="shared" si="20"/>
        <v>0</v>
      </c>
    </row>
    <row r="25" spans="1:23" s="216" customFormat="1" ht="12.75">
      <c r="A25" s="306">
        <f t="shared" si="2"/>
        <v>19</v>
      </c>
      <c r="B25" s="311">
        <v>0</v>
      </c>
      <c r="C25" s="312">
        <f t="shared" si="3"/>
        <v>7151224.0600000005</v>
      </c>
      <c r="D25" s="311"/>
      <c r="E25" s="311"/>
      <c r="F25" s="311"/>
      <c r="G25" s="311"/>
      <c r="H25" s="311"/>
      <c r="I25" s="311"/>
      <c r="J25" s="311"/>
      <c r="K25" s="311"/>
      <c r="L25" s="311"/>
      <c r="M25" s="312"/>
      <c r="N25" s="312"/>
      <c r="O25" s="312"/>
      <c r="P25" s="312"/>
      <c r="Q25" s="312"/>
      <c r="R25" s="312"/>
      <c r="S25" s="312"/>
      <c r="T25" s="312"/>
      <c r="U25" s="312"/>
      <c r="V25" s="311">
        <f>IF(D$6&lt;=$A$3,$B25*$B$3,0)</f>
        <v>0</v>
      </c>
      <c r="W25" s="311">
        <f>IF(E$6&lt;=$A$3,$B25*$B$3,0)</f>
        <v>0</v>
      </c>
    </row>
    <row r="26" spans="1:23" s="216" customFormat="1" ht="12.75">
      <c r="A26" s="306">
        <f t="shared" si="2"/>
        <v>20</v>
      </c>
      <c r="B26" s="311">
        <v>0</v>
      </c>
      <c r="C26" s="312">
        <f t="shared" si="3"/>
        <v>7151224.0600000005</v>
      </c>
      <c r="D26" s="311"/>
      <c r="E26" s="311"/>
      <c r="F26" s="311"/>
      <c r="G26" s="311"/>
      <c r="H26" s="311"/>
      <c r="I26" s="311"/>
      <c r="J26" s="311"/>
      <c r="K26" s="311"/>
      <c r="L26" s="311"/>
      <c r="M26" s="312"/>
      <c r="N26" s="312"/>
      <c r="O26" s="312"/>
      <c r="P26" s="312"/>
      <c r="Q26" s="312"/>
      <c r="R26" s="312"/>
      <c r="S26" s="312"/>
      <c r="T26" s="312"/>
      <c r="U26" s="312"/>
      <c r="V26" s="312"/>
      <c r="W26" s="311">
        <f>IF(D$6&lt;=$A$3,$B26*$B$3,0)</f>
        <v>0</v>
      </c>
    </row>
    <row r="27" spans="1:23" s="216" customFormat="1" ht="12.75">
      <c r="A27" s="305"/>
      <c r="B27" s="311"/>
      <c r="C27" s="312"/>
      <c r="D27" s="311"/>
      <c r="E27" s="311"/>
      <c r="F27" s="311"/>
      <c r="G27" s="311"/>
      <c r="H27" s="311"/>
      <c r="I27" s="311"/>
      <c r="J27" s="311"/>
      <c r="K27" s="311"/>
      <c r="L27" s="311"/>
      <c r="M27" s="312"/>
      <c r="N27" s="312"/>
      <c r="O27" s="312"/>
      <c r="P27" s="312"/>
      <c r="Q27" s="312"/>
      <c r="R27" s="312"/>
      <c r="S27" s="312"/>
      <c r="T27" s="312"/>
      <c r="U27" s="312"/>
      <c r="V27" s="312"/>
      <c r="W27" s="312"/>
    </row>
    <row r="28" spans="1:23" s="216" customFormat="1" ht="12.75">
      <c r="B28" s="314" t="s">
        <v>374</v>
      </c>
      <c r="C28" s="312"/>
      <c r="D28" s="311">
        <f t="shared" ref="D28:W28" si="21">SUM(D7:D26)</f>
        <v>498670.21200000006</v>
      </c>
      <c r="E28" s="311">
        <f t="shared" si="21"/>
        <v>1417579.2120000001</v>
      </c>
      <c r="F28" s="311">
        <f t="shared" si="21"/>
        <v>1423912.0120000001</v>
      </c>
      <c r="G28" s="311">
        <f t="shared" si="21"/>
        <v>1430244.8120000002</v>
      </c>
      <c r="H28" s="311">
        <f t="shared" si="21"/>
        <v>1430244.8120000002</v>
      </c>
      <c r="I28" s="311">
        <f t="shared" si="21"/>
        <v>931574.60000000009</v>
      </c>
      <c r="J28" s="311">
        <f t="shared" si="21"/>
        <v>12665.6</v>
      </c>
      <c r="K28" s="311">
        <f t="shared" si="21"/>
        <v>6332.8</v>
      </c>
      <c r="L28" s="311">
        <f t="shared" si="21"/>
        <v>0</v>
      </c>
      <c r="M28" s="311">
        <f t="shared" si="21"/>
        <v>0</v>
      </c>
      <c r="N28" s="311">
        <f t="shared" si="21"/>
        <v>0</v>
      </c>
      <c r="O28" s="311">
        <f t="shared" si="21"/>
        <v>0</v>
      </c>
      <c r="P28" s="311">
        <f t="shared" si="21"/>
        <v>0</v>
      </c>
      <c r="Q28" s="311">
        <f t="shared" si="21"/>
        <v>0</v>
      </c>
      <c r="R28" s="311">
        <f t="shared" si="21"/>
        <v>0</v>
      </c>
      <c r="S28" s="311">
        <f t="shared" si="21"/>
        <v>0</v>
      </c>
      <c r="T28" s="311">
        <f t="shared" si="21"/>
        <v>0</v>
      </c>
      <c r="U28" s="311">
        <f t="shared" si="21"/>
        <v>0</v>
      </c>
      <c r="V28" s="311">
        <f>SUM(V7:V26)</f>
        <v>0</v>
      </c>
      <c r="W28" s="311">
        <f t="shared" si="21"/>
        <v>0</v>
      </c>
    </row>
    <row r="29" spans="1:23" s="216" customFormat="1" ht="12.75">
      <c r="B29" s="314" t="s">
        <v>375</v>
      </c>
      <c r="C29" s="312"/>
      <c r="D29" s="311">
        <f t="array" ref="D29:W29">TRANSPOSE(C7:C26)</f>
        <v>2493351.06</v>
      </c>
      <c r="E29" s="311">
        <v>7087896.0600000005</v>
      </c>
      <c r="F29" s="311">
        <v>7119560.0600000005</v>
      </c>
      <c r="G29" s="311">
        <v>7151224.0600000005</v>
      </c>
      <c r="H29" s="311">
        <v>7151224.0600000005</v>
      </c>
      <c r="I29" s="311">
        <v>7151224.0600000005</v>
      </c>
      <c r="J29" s="311">
        <v>7151224.0600000005</v>
      </c>
      <c r="K29" s="311">
        <v>7151224.0600000005</v>
      </c>
      <c r="L29" s="311">
        <v>7151224.0600000005</v>
      </c>
      <c r="M29" s="311">
        <v>7151224.0600000005</v>
      </c>
      <c r="N29" s="311">
        <v>7151224.0600000005</v>
      </c>
      <c r="O29" s="311">
        <v>7151224.0600000005</v>
      </c>
      <c r="P29" s="311">
        <v>7151224.0600000005</v>
      </c>
      <c r="Q29" s="311">
        <v>7151224.0600000005</v>
      </c>
      <c r="R29" s="311">
        <v>7151224.0600000005</v>
      </c>
      <c r="S29" s="311">
        <v>7151224.0600000005</v>
      </c>
      <c r="T29" s="311">
        <v>7151224.0600000005</v>
      </c>
      <c r="U29" s="311">
        <v>7151224.0600000005</v>
      </c>
      <c r="V29" s="311">
        <v>7151224.0600000005</v>
      </c>
      <c r="W29" s="311">
        <v>7151224.0600000005</v>
      </c>
    </row>
    <row r="30" spans="1:23" s="216" customFormat="1" ht="12.75">
      <c r="B30" s="314" t="s">
        <v>376</v>
      </c>
      <c r="C30" s="312"/>
      <c r="D30" s="311">
        <f>+D28</f>
        <v>498670.21200000006</v>
      </c>
      <c r="E30" s="311">
        <f>+E28+D30</f>
        <v>1916249.4240000001</v>
      </c>
      <c r="F30" s="311">
        <f t="shared" ref="F30:W30" si="22">+F28+E30</f>
        <v>3340161.4360000002</v>
      </c>
      <c r="G30" s="311">
        <f t="shared" si="22"/>
        <v>4770406.2480000006</v>
      </c>
      <c r="H30" s="311">
        <f t="shared" si="22"/>
        <v>6200651.0600000005</v>
      </c>
      <c r="I30" s="311">
        <f t="shared" si="22"/>
        <v>7132225.6600000001</v>
      </c>
      <c r="J30" s="311">
        <f t="shared" si="22"/>
        <v>7144891.2599999998</v>
      </c>
      <c r="K30" s="311">
        <f t="shared" si="22"/>
        <v>7151224.0599999996</v>
      </c>
      <c r="L30" s="311">
        <f t="shared" si="22"/>
        <v>7151224.0599999996</v>
      </c>
      <c r="M30" s="311">
        <f t="shared" si="22"/>
        <v>7151224.0599999996</v>
      </c>
      <c r="N30" s="311">
        <f t="shared" si="22"/>
        <v>7151224.0599999996</v>
      </c>
      <c r="O30" s="311">
        <f t="shared" si="22"/>
        <v>7151224.0599999996</v>
      </c>
      <c r="P30" s="311">
        <f t="shared" si="22"/>
        <v>7151224.0599999996</v>
      </c>
      <c r="Q30" s="311">
        <f t="shared" si="22"/>
        <v>7151224.0599999996</v>
      </c>
      <c r="R30" s="311">
        <f t="shared" si="22"/>
        <v>7151224.0599999996</v>
      </c>
      <c r="S30" s="311">
        <f t="shared" si="22"/>
        <v>7151224.0599999996</v>
      </c>
      <c r="T30" s="311">
        <f t="shared" si="22"/>
        <v>7151224.0599999996</v>
      </c>
      <c r="U30" s="311">
        <f t="shared" si="22"/>
        <v>7151224.0599999996</v>
      </c>
      <c r="V30" s="311">
        <f t="shared" si="22"/>
        <v>7151224.0599999996</v>
      </c>
      <c r="W30" s="311">
        <f t="shared" si="22"/>
        <v>7151224.0599999996</v>
      </c>
    </row>
    <row r="31" spans="1:23" s="216" customFormat="1" ht="12.75">
      <c r="B31" s="314" t="s">
        <v>377</v>
      </c>
      <c r="C31" s="315"/>
      <c r="D31" s="315">
        <f>+D29-D30</f>
        <v>1994680.848</v>
      </c>
      <c r="E31" s="315">
        <f t="shared" ref="E31:W31" si="23">+E29-E30</f>
        <v>5171646.6359999999</v>
      </c>
      <c r="F31" s="315">
        <f t="shared" si="23"/>
        <v>3779398.6240000003</v>
      </c>
      <c r="G31" s="315">
        <f t="shared" si="23"/>
        <v>2380817.8119999999</v>
      </c>
      <c r="H31" s="315">
        <f t="shared" si="23"/>
        <v>950573</v>
      </c>
      <c r="I31" s="315">
        <f t="shared" si="23"/>
        <v>18998.400000000373</v>
      </c>
      <c r="J31" s="315">
        <f t="shared" si="23"/>
        <v>6332.8000000007451</v>
      </c>
      <c r="K31" s="315">
        <f t="shared" si="23"/>
        <v>0</v>
      </c>
      <c r="L31" s="315">
        <f t="shared" si="23"/>
        <v>0</v>
      </c>
      <c r="M31" s="315">
        <f t="shared" si="23"/>
        <v>0</v>
      </c>
      <c r="N31" s="315">
        <f t="shared" si="23"/>
        <v>0</v>
      </c>
      <c r="O31" s="315">
        <f t="shared" si="23"/>
        <v>0</v>
      </c>
      <c r="P31" s="315">
        <f t="shared" si="23"/>
        <v>0</v>
      </c>
      <c r="Q31" s="315">
        <f t="shared" si="23"/>
        <v>0</v>
      </c>
      <c r="R31" s="315">
        <f t="shared" si="23"/>
        <v>0</v>
      </c>
      <c r="S31" s="315">
        <f t="shared" si="23"/>
        <v>0</v>
      </c>
      <c r="T31" s="315">
        <f t="shared" si="23"/>
        <v>0</v>
      </c>
      <c r="U31" s="315">
        <f t="shared" si="23"/>
        <v>0</v>
      </c>
      <c r="V31" s="315">
        <f t="shared" si="23"/>
        <v>0</v>
      </c>
      <c r="W31" s="315">
        <f t="shared" si="23"/>
        <v>0</v>
      </c>
    </row>
    <row r="32" spans="1:23" ht="15.75">
      <c r="A32" s="316"/>
      <c r="B32" s="316"/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6"/>
      <c r="N32" s="316"/>
      <c r="O32" s="316"/>
      <c r="P32" s="316"/>
      <c r="Q32" s="316"/>
      <c r="R32" s="316"/>
      <c r="S32" s="316"/>
      <c r="T32" s="316"/>
      <c r="U32" s="316"/>
      <c r="V32" s="316"/>
      <c r="W32" s="316"/>
    </row>
  </sheetData>
  <mergeCells count="2">
    <mergeCell ref="D4:M4"/>
    <mergeCell ref="N4:W4"/>
  </mergeCells>
  <phoneticPr fontId="3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>
  <dimension ref="A1:X32"/>
  <sheetViews>
    <sheetView topLeftCell="A7" workbookViewId="0">
      <selection activeCell="M38" sqref="M38"/>
    </sheetView>
  </sheetViews>
  <sheetFormatPr defaultColWidth="8.85546875" defaultRowHeight="15"/>
  <cols>
    <col min="2" max="23" width="12.7109375" customWidth="1"/>
  </cols>
  <sheetData>
    <row r="1" spans="1:24">
      <c r="A1" s="165" t="s">
        <v>381</v>
      </c>
    </row>
    <row r="3" spans="1:24">
      <c r="A3" s="165" t="s">
        <v>379</v>
      </c>
    </row>
    <row r="4" spans="1:24" s="216" customFormat="1" ht="12.75">
      <c r="A4" s="305"/>
      <c r="D4" s="742" t="s">
        <v>370</v>
      </c>
      <c r="E4" s="743"/>
      <c r="F4" s="743"/>
      <c r="G4" s="743"/>
      <c r="H4" s="743"/>
      <c r="I4" s="743"/>
      <c r="J4" s="743"/>
      <c r="K4" s="743"/>
      <c r="L4" s="743"/>
      <c r="M4" s="743"/>
      <c r="N4" s="742" t="s">
        <v>370</v>
      </c>
      <c r="O4" s="743"/>
      <c r="P4" s="743"/>
      <c r="Q4" s="743"/>
      <c r="R4" s="743"/>
      <c r="S4" s="743"/>
      <c r="T4" s="743"/>
      <c r="U4" s="743"/>
      <c r="V4" s="743"/>
      <c r="W4" s="743"/>
    </row>
    <row r="5" spans="1:24" s="216" customFormat="1" ht="12.75">
      <c r="A5" s="305"/>
      <c r="B5" s="306" t="s">
        <v>371</v>
      </c>
      <c r="C5" s="307" t="s">
        <v>372</v>
      </c>
      <c r="D5" s="308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</row>
    <row r="6" spans="1:24" s="216" customFormat="1" ht="12.75">
      <c r="A6" s="306" t="s">
        <v>172</v>
      </c>
      <c r="B6" s="306" t="s">
        <v>373</v>
      </c>
      <c r="C6" s="306" t="s">
        <v>373</v>
      </c>
      <c r="D6" s="310">
        <v>1</v>
      </c>
      <c r="E6" s="310">
        <f t="shared" ref="E6:W6" si="0">D6+1</f>
        <v>2</v>
      </c>
      <c r="F6" s="310">
        <f t="shared" si="0"/>
        <v>3</v>
      </c>
      <c r="G6" s="310">
        <f t="shared" si="0"/>
        <v>4</v>
      </c>
      <c r="H6" s="310">
        <f t="shared" si="0"/>
        <v>5</v>
      </c>
      <c r="I6" s="310">
        <f t="shared" si="0"/>
        <v>6</v>
      </c>
      <c r="J6" s="310">
        <f t="shared" si="0"/>
        <v>7</v>
      </c>
      <c r="K6" s="310">
        <f t="shared" si="0"/>
        <v>8</v>
      </c>
      <c r="L6" s="310">
        <f t="shared" si="0"/>
        <v>9</v>
      </c>
      <c r="M6" s="310">
        <f t="shared" si="0"/>
        <v>10</v>
      </c>
      <c r="N6" s="310">
        <f t="shared" si="0"/>
        <v>11</v>
      </c>
      <c r="O6" s="310">
        <f t="shared" si="0"/>
        <v>12</v>
      </c>
      <c r="P6" s="310">
        <f t="shared" si="0"/>
        <v>13</v>
      </c>
      <c r="Q6" s="310">
        <f t="shared" si="0"/>
        <v>14</v>
      </c>
      <c r="R6" s="310">
        <f t="shared" si="0"/>
        <v>15</v>
      </c>
      <c r="S6" s="310">
        <f t="shared" si="0"/>
        <v>16</v>
      </c>
      <c r="T6" s="310">
        <f t="shared" si="0"/>
        <v>17</v>
      </c>
      <c r="U6" s="310">
        <f t="shared" si="0"/>
        <v>18</v>
      </c>
      <c r="V6" s="310">
        <f t="shared" si="0"/>
        <v>19</v>
      </c>
      <c r="W6" s="310">
        <f t="shared" si="0"/>
        <v>20</v>
      </c>
    </row>
    <row r="7" spans="1:24" s="216" customFormat="1" ht="12.75">
      <c r="A7" s="306">
        <v>1</v>
      </c>
      <c r="B7" s="311">
        <f>+'Depreciation 5'!B7+'Depreciation 20'!B7</f>
        <v>8100941.0600000005</v>
      </c>
      <c r="C7" s="311">
        <f>+'Depreciation 5'!C7+'Depreciation 20'!C7</f>
        <v>8100941.0600000005</v>
      </c>
      <c r="D7" s="311">
        <f>+'Depreciation 5'!D7+'Depreciation 20'!D7</f>
        <v>779049.71200000006</v>
      </c>
      <c r="E7" s="311">
        <f>+'Depreciation 5'!E7+'Depreciation 20'!E7</f>
        <v>779049.71200000006</v>
      </c>
      <c r="F7" s="311">
        <f>+'Depreciation 5'!F7+'Depreciation 20'!F7</f>
        <v>779049.71200000006</v>
      </c>
      <c r="G7" s="311">
        <f>+'Depreciation 5'!G7+'Depreciation 20'!G7</f>
        <v>779049.71200000006</v>
      </c>
      <c r="H7" s="311">
        <f>+'Depreciation 5'!H7+'Depreciation 20'!H7</f>
        <v>779049.71200000006</v>
      </c>
      <c r="I7" s="311">
        <f>+'Depreciation 5'!I7+'Depreciation 20'!I7</f>
        <v>280379.5</v>
      </c>
      <c r="J7" s="311">
        <f>+'Depreciation 5'!J7+'Depreciation 20'!J7</f>
        <v>280379.5</v>
      </c>
      <c r="K7" s="311">
        <f>+'Depreciation 5'!K7+'Depreciation 20'!K7</f>
        <v>280379.5</v>
      </c>
      <c r="L7" s="311">
        <f>+'Depreciation 5'!L7+'Depreciation 20'!L7</f>
        <v>280379.5</v>
      </c>
      <c r="M7" s="311">
        <f>+'Depreciation 5'!M7+'Depreciation 20'!M7</f>
        <v>280379.5</v>
      </c>
      <c r="N7" s="311">
        <f>+'Depreciation 5'!N7+'Depreciation 20'!N7</f>
        <v>280379.5</v>
      </c>
      <c r="O7" s="311">
        <f>+'Depreciation 5'!O7+'Depreciation 20'!O7</f>
        <v>280379.5</v>
      </c>
      <c r="P7" s="311">
        <f>+'Depreciation 5'!P7+'Depreciation 20'!P7</f>
        <v>280379.5</v>
      </c>
      <c r="Q7" s="311">
        <f>+'Depreciation 5'!Q7+'Depreciation 20'!Q7</f>
        <v>280379.5</v>
      </c>
      <c r="R7" s="311">
        <f>+'Depreciation 5'!R7+'Depreciation 20'!R7</f>
        <v>280379.5</v>
      </c>
      <c r="S7" s="311">
        <f>+'Depreciation 5'!S7+'Depreciation 20'!S7</f>
        <v>280379.5</v>
      </c>
      <c r="T7" s="311">
        <f>+'Depreciation 5'!T7+'Depreciation 20'!T7</f>
        <v>280379.5</v>
      </c>
      <c r="U7" s="311">
        <f>+'Depreciation 5'!U7+'Depreciation 20'!U7</f>
        <v>280379.5</v>
      </c>
      <c r="V7" s="311">
        <f>+'Depreciation 5'!V7+'Depreciation 20'!V7</f>
        <v>280379.5</v>
      </c>
      <c r="W7" s="311">
        <f>+'Depreciation 5'!W7+'Depreciation 20'!W7</f>
        <v>280379.5</v>
      </c>
      <c r="X7" s="313"/>
    </row>
    <row r="8" spans="1:24" s="216" customFormat="1" ht="12.75">
      <c r="A8" s="306">
        <f t="shared" ref="A8:A26" si="1">A7+1</f>
        <v>2</v>
      </c>
      <c r="B8" s="311">
        <f>+'Depreciation 5'!B8+'Depreciation 20'!B8</f>
        <v>21296817</v>
      </c>
      <c r="C8" s="311">
        <f>+'Depreciation 5'!C8+'Depreciation 20'!C8</f>
        <v>29397758.060000002</v>
      </c>
      <c r="D8" s="311">
        <f>+'Depreciation 5'!D8+'Depreciation 20'!D8</f>
        <v>0</v>
      </c>
      <c r="E8" s="311">
        <f>+'Depreciation 5'!E8+'Depreciation 20'!E8</f>
        <v>1754022.6</v>
      </c>
      <c r="F8" s="311">
        <f>+'Depreciation 5'!F8+'Depreciation 20'!F8</f>
        <v>1754022.6</v>
      </c>
      <c r="G8" s="311">
        <f>+'Depreciation 5'!G8+'Depreciation 20'!G8</f>
        <v>1754022.6</v>
      </c>
      <c r="H8" s="311">
        <f>+'Depreciation 5'!H8+'Depreciation 20'!H8</f>
        <v>1754022.6</v>
      </c>
      <c r="I8" s="311">
        <f>+'Depreciation 5'!I8+'Depreciation 20'!I8</f>
        <v>1754022.6</v>
      </c>
      <c r="J8" s="311">
        <f>+'Depreciation 5'!J8+'Depreciation 20'!J8</f>
        <v>835113.60000000009</v>
      </c>
      <c r="K8" s="311">
        <f>+'Depreciation 5'!K8+'Depreciation 20'!K8</f>
        <v>835113.60000000009</v>
      </c>
      <c r="L8" s="311">
        <f>+'Depreciation 5'!L8+'Depreciation 20'!L8</f>
        <v>835113.60000000009</v>
      </c>
      <c r="M8" s="311">
        <f>+'Depreciation 5'!M8+'Depreciation 20'!M8</f>
        <v>835113.60000000009</v>
      </c>
      <c r="N8" s="311">
        <f>+'Depreciation 5'!N8+'Depreciation 20'!N8</f>
        <v>835113.60000000009</v>
      </c>
      <c r="O8" s="311">
        <f>+'Depreciation 5'!O8+'Depreciation 20'!O8</f>
        <v>835113.60000000009</v>
      </c>
      <c r="P8" s="311">
        <f>+'Depreciation 5'!P8+'Depreciation 20'!P8</f>
        <v>835113.60000000009</v>
      </c>
      <c r="Q8" s="311">
        <f>+'Depreciation 5'!Q8+'Depreciation 20'!Q8</f>
        <v>835113.60000000009</v>
      </c>
      <c r="R8" s="311">
        <f>+'Depreciation 5'!R8+'Depreciation 20'!R8</f>
        <v>835113.60000000009</v>
      </c>
      <c r="S8" s="311">
        <f>+'Depreciation 5'!S8+'Depreciation 20'!S8</f>
        <v>835113.60000000009</v>
      </c>
      <c r="T8" s="311">
        <f>+'Depreciation 5'!T8+'Depreciation 20'!T8</f>
        <v>835113.60000000009</v>
      </c>
      <c r="U8" s="311">
        <f>+'Depreciation 5'!U8+'Depreciation 20'!U8</f>
        <v>835113.60000000009</v>
      </c>
      <c r="V8" s="311">
        <f>+'Depreciation 5'!V8+'Depreciation 20'!V8</f>
        <v>835113.60000000009</v>
      </c>
      <c r="W8" s="311">
        <f>+'Depreciation 5'!W8+'Depreciation 20'!W8</f>
        <v>835113.60000000009</v>
      </c>
    </row>
    <row r="9" spans="1:24" s="216" customFormat="1" ht="12.75">
      <c r="A9" s="306">
        <f t="shared" si="1"/>
        <v>3</v>
      </c>
      <c r="B9" s="311">
        <f>+'Depreciation 5'!B9+'Depreciation 20'!B9</f>
        <v>31664</v>
      </c>
      <c r="C9" s="311">
        <f>+'Depreciation 5'!C9+'Depreciation 20'!C9</f>
        <v>29429422.060000002</v>
      </c>
      <c r="D9" s="311">
        <f>+'Depreciation 5'!D9+'Depreciation 20'!D9</f>
        <v>0</v>
      </c>
      <c r="E9" s="311">
        <f>+'Depreciation 5'!E9+'Depreciation 20'!E9</f>
        <v>0</v>
      </c>
      <c r="F9" s="311">
        <f>+'Depreciation 5'!F9+'Depreciation 20'!F9</f>
        <v>6332.8</v>
      </c>
      <c r="G9" s="311">
        <f>+'Depreciation 5'!G9+'Depreciation 20'!G9</f>
        <v>6332.8</v>
      </c>
      <c r="H9" s="311">
        <f>+'Depreciation 5'!H9+'Depreciation 20'!H9</f>
        <v>6332.8</v>
      </c>
      <c r="I9" s="311">
        <f>+'Depreciation 5'!I9+'Depreciation 20'!I9</f>
        <v>6332.8</v>
      </c>
      <c r="J9" s="311">
        <f>+'Depreciation 5'!J9+'Depreciation 20'!J9</f>
        <v>6332.8</v>
      </c>
      <c r="K9" s="311">
        <f>+'Depreciation 5'!K9+'Depreciation 20'!K9</f>
        <v>0</v>
      </c>
      <c r="L9" s="311">
        <f>+'Depreciation 5'!L9+'Depreciation 20'!L9</f>
        <v>0</v>
      </c>
      <c r="M9" s="311">
        <f>+'Depreciation 5'!M9+'Depreciation 20'!M9</f>
        <v>0</v>
      </c>
      <c r="N9" s="311">
        <f>+'Depreciation 5'!N9+'Depreciation 20'!N9</f>
        <v>0</v>
      </c>
      <c r="O9" s="311">
        <f>+'Depreciation 5'!O9+'Depreciation 20'!O9</f>
        <v>0</v>
      </c>
      <c r="P9" s="311">
        <f>+'Depreciation 5'!P9+'Depreciation 20'!P9</f>
        <v>0</v>
      </c>
      <c r="Q9" s="311">
        <f>+'Depreciation 5'!Q9+'Depreciation 20'!Q9</f>
        <v>0</v>
      </c>
      <c r="R9" s="311">
        <f>+'Depreciation 5'!R9+'Depreciation 20'!R9</f>
        <v>0</v>
      </c>
      <c r="S9" s="311">
        <f>+'Depreciation 5'!S9+'Depreciation 20'!S9</f>
        <v>0</v>
      </c>
      <c r="T9" s="311">
        <f>+'Depreciation 5'!T9+'Depreciation 20'!T9</f>
        <v>0</v>
      </c>
      <c r="U9" s="311">
        <f>+'Depreciation 5'!U9+'Depreciation 20'!U9</f>
        <v>0</v>
      </c>
      <c r="V9" s="311">
        <f>+'Depreciation 5'!V9+'Depreciation 20'!V9</f>
        <v>0</v>
      </c>
      <c r="W9" s="311">
        <f>+'Depreciation 5'!W9+'Depreciation 20'!W9</f>
        <v>0</v>
      </c>
    </row>
    <row r="10" spans="1:24" s="216" customFormat="1" ht="12.75">
      <c r="A10" s="306">
        <f t="shared" si="1"/>
        <v>4</v>
      </c>
      <c r="B10" s="311">
        <f>+'Depreciation 5'!B10+'Depreciation 20'!B10</f>
        <v>31664</v>
      </c>
      <c r="C10" s="311">
        <f>+'Depreciation 5'!C10+'Depreciation 20'!C10</f>
        <v>29461086.060000002</v>
      </c>
      <c r="D10" s="311">
        <f>+'Depreciation 5'!D10+'Depreciation 20'!D10</f>
        <v>0</v>
      </c>
      <c r="E10" s="311">
        <f>+'Depreciation 5'!E10+'Depreciation 20'!E10</f>
        <v>0</v>
      </c>
      <c r="F10" s="311">
        <f>+'Depreciation 5'!F10+'Depreciation 20'!F10</f>
        <v>0</v>
      </c>
      <c r="G10" s="311">
        <f>+'Depreciation 5'!G10+'Depreciation 20'!G10</f>
        <v>6332.8</v>
      </c>
      <c r="H10" s="311">
        <f>+'Depreciation 5'!H10+'Depreciation 20'!H10</f>
        <v>6332.8</v>
      </c>
      <c r="I10" s="311">
        <f>+'Depreciation 5'!I10+'Depreciation 20'!I10</f>
        <v>6332.8</v>
      </c>
      <c r="J10" s="311">
        <f>+'Depreciation 5'!J10+'Depreciation 20'!J10</f>
        <v>6332.8</v>
      </c>
      <c r="K10" s="311">
        <f>+'Depreciation 5'!K10+'Depreciation 20'!K10</f>
        <v>6332.8</v>
      </c>
      <c r="L10" s="311">
        <f>+'Depreciation 5'!L10+'Depreciation 20'!L10</f>
        <v>0</v>
      </c>
      <c r="M10" s="311">
        <f>+'Depreciation 5'!M10+'Depreciation 20'!M10</f>
        <v>0</v>
      </c>
      <c r="N10" s="311">
        <f>+'Depreciation 5'!N10+'Depreciation 20'!N10</f>
        <v>0</v>
      </c>
      <c r="O10" s="311">
        <f>+'Depreciation 5'!O10+'Depreciation 20'!O10</f>
        <v>0</v>
      </c>
      <c r="P10" s="311">
        <f>+'Depreciation 5'!P10+'Depreciation 20'!P10</f>
        <v>0</v>
      </c>
      <c r="Q10" s="311">
        <f>+'Depreciation 5'!Q10+'Depreciation 20'!Q10</f>
        <v>0</v>
      </c>
      <c r="R10" s="311">
        <f>+'Depreciation 5'!R10+'Depreciation 20'!R10</f>
        <v>0</v>
      </c>
      <c r="S10" s="311">
        <f>+'Depreciation 5'!S10+'Depreciation 20'!S10</f>
        <v>0</v>
      </c>
      <c r="T10" s="311">
        <f>+'Depreciation 5'!T10+'Depreciation 20'!T10</f>
        <v>0</v>
      </c>
      <c r="U10" s="311">
        <f>+'Depreciation 5'!U10+'Depreciation 20'!U10</f>
        <v>0</v>
      </c>
      <c r="V10" s="311">
        <f>+'Depreciation 5'!V10+'Depreciation 20'!V10</f>
        <v>0</v>
      </c>
      <c r="W10" s="311">
        <f>+'Depreciation 5'!W10+'Depreciation 20'!W10</f>
        <v>0</v>
      </c>
    </row>
    <row r="11" spans="1:24" s="216" customFormat="1" ht="12.75">
      <c r="A11" s="306">
        <f t="shared" si="1"/>
        <v>5</v>
      </c>
      <c r="B11" s="311">
        <f>+'Depreciation 5'!B11+'Depreciation 20'!B11</f>
        <v>0</v>
      </c>
      <c r="C11" s="311">
        <f>+'Depreciation 5'!C11+'Depreciation 20'!C11</f>
        <v>29461086.060000002</v>
      </c>
      <c r="D11" s="311">
        <f>+'Depreciation 5'!D11+'Depreciation 20'!D11</f>
        <v>0</v>
      </c>
      <c r="E11" s="311">
        <f>+'Depreciation 5'!E11+'Depreciation 20'!E11</f>
        <v>0</v>
      </c>
      <c r="F11" s="311">
        <f>+'Depreciation 5'!F11+'Depreciation 20'!F11</f>
        <v>0</v>
      </c>
      <c r="G11" s="311">
        <f>+'Depreciation 5'!G11+'Depreciation 20'!G11</f>
        <v>0</v>
      </c>
      <c r="H11" s="311">
        <f>+'Depreciation 5'!H11+'Depreciation 20'!H11</f>
        <v>0</v>
      </c>
      <c r="I11" s="311">
        <f>+'Depreciation 5'!I11+'Depreciation 20'!I11</f>
        <v>0</v>
      </c>
      <c r="J11" s="311">
        <f>+'Depreciation 5'!J11+'Depreciation 20'!J11</f>
        <v>0</v>
      </c>
      <c r="K11" s="311">
        <f>+'Depreciation 5'!K11+'Depreciation 20'!K11</f>
        <v>0</v>
      </c>
      <c r="L11" s="311">
        <f>+'Depreciation 5'!L11+'Depreciation 20'!L11</f>
        <v>0</v>
      </c>
      <c r="M11" s="311">
        <f>+'Depreciation 5'!M11+'Depreciation 20'!M11</f>
        <v>0</v>
      </c>
      <c r="N11" s="311">
        <f>+'Depreciation 5'!N11+'Depreciation 20'!N11</f>
        <v>0</v>
      </c>
      <c r="O11" s="311">
        <f>+'Depreciation 5'!O11+'Depreciation 20'!O11</f>
        <v>0</v>
      </c>
      <c r="P11" s="311">
        <f>+'Depreciation 5'!P11+'Depreciation 20'!P11</f>
        <v>0</v>
      </c>
      <c r="Q11" s="311">
        <f>+'Depreciation 5'!Q11+'Depreciation 20'!Q11</f>
        <v>0</v>
      </c>
      <c r="R11" s="311">
        <f>+'Depreciation 5'!R11+'Depreciation 20'!R11</f>
        <v>0</v>
      </c>
      <c r="S11" s="311">
        <f>+'Depreciation 5'!S11+'Depreciation 20'!S11</f>
        <v>0</v>
      </c>
      <c r="T11" s="311">
        <f>+'Depreciation 5'!T11+'Depreciation 20'!T11</f>
        <v>0</v>
      </c>
      <c r="U11" s="311">
        <f>+'Depreciation 5'!U11+'Depreciation 20'!U11</f>
        <v>0</v>
      </c>
      <c r="V11" s="311">
        <f>+'Depreciation 5'!V11+'Depreciation 20'!V11</f>
        <v>0</v>
      </c>
      <c r="W11" s="311">
        <f>+'Depreciation 5'!W11+'Depreciation 20'!W11</f>
        <v>0</v>
      </c>
    </row>
    <row r="12" spans="1:24" s="216" customFormat="1" ht="12.75">
      <c r="A12" s="306">
        <f t="shared" si="1"/>
        <v>6</v>
      </c>
      <c r="B12" s="311">
        <f>+'Depreciation 5'!B12+'Depreciation 20'!B12</f>
        <v>0</v>
      </c>
      <c r="C12" s="311">
        <f>+'Depreciation 5'!C12+'Depreciation 20'!C12</f>
        <v>29461086.060000002</v>
      </c>
      <c r="D12" s="311">
        <f>+'Depreciation 5'!D12+'Depreciation 20'!D12</f>
        <v>0</v>
      </c>
      <c r="E12" s="311">
        <f>+'Depreciation 5'!E12+'Depreciation 20'!E12</f>
        <v>0</v>
      </c>
      <c r="F12" s="311">
        <f>+'Depreciation 5'!F12+'Depreciation 20'!F12</f>
        <v>0</v>
      </c>
      <c r="G12" s="311">
        <f>+'Depreciation 5'!G12+'Depreciation 20'!G12</f>
        <v>0</v>
      </c>
      <c r="H12" s="311">
        <f>+'Depreciation 5'!H12+'Depreciation 20'!H12</f>
        <v>0</v>
      </c>
      <c r="I12" s="311">
        <f>+'Depreciation 5'!I12+'Depreciation 20'!I12</f>
        <v>0</v>
      </c>
      <c r="J12" s="311">
        <f>+'Depreciation 5'!J12+'Depreciation 20'!J12</f>
        <v>0</v>
      </c>
      <c r="K12" s="311">
        <f>+'Depreciation 5'!K12+'Depreciation 20'!K12</f>
        <v>0</v>
      </c>
      <c r="L12" s="311">
        <f>+'Depreciation 5'!L12+'Depreciation 20'!L12</f>
        <v>0</v>
      </c>
      <c r="M12" s="311">
        <f>+'Depreciation 5'!M12+'Depreciation 20'!M12</f>
        <v>0</v>
      </c>
      <c r="N12" s="311">
        <f>+'Depreciation 5'!N12+'Depreciation 20'!N12</f>
        <v>0</v>
      </c>
      <c r="O12" s="311">
        <f>+'Depreciation 5'!O12+'Depreciation 20'!O12</f>
        <v>0</v>
      </c>
      <c r="P12" s="311">
        <f>+'Depreciation 5'!P12+'Depreciation 20'!P12</f>
        <v>0</v>
      </c>
      <c r="Q12" s="311">
        <f>+'Depreciation 5'!Q12+'Depreciation 20'!Q12</f>
        <v>0</v>
      </c>
      <c r="R12" s="311">
        <f>+'Depreciation 5'!R12+'Depreciation 20'!R12</f>
        <v>0</v>
      </c>
      <c r="S12" s="311">
        <f>+'Depreciation 5'!S12+'Depreciation 20'!S12</f>
        <v>0</v>
      </c>
      <c r="T12" s="311">
        <f>+'Depreciation 5'!T12+'Depreciation 20'!T12</f>
        <v>0</v>
      </c>
      <c r="U12" s="311">
        <f>+'Depreciation 5'!U12+'Depreciation 20'!U12</f>
        <v>0</v>
      </c>
      <c r="V12" s="311">
        <f>+'Depreciation 5'!V12+'Depreciation 20'!V12</f>
        <v>0</v>
      </c>
      <c r="W12" s="311">
        <f>+'Depreciation 5'!W12+'Depreciation 20'!W12</f>
        <v>0</v>
      </c>
    </row>
    <row r="13" spans="1:24" s="216" customFormat="1" ht="12.75">
      <c r="A13" s="306">
        <f t="shared" si="1"/>
        <v>7</v>
      </c>
      <c r="B13" s="311">
        <f>+'Depreciation 5'!B13+'Depreciation 20'!B13</f>
        <v>0</v>
      </c>
      <c r="C13" s="311">
        <f>+'Depreciation 5'!C13+'Depreciation 20'!C13</f>
        <v>29461086.060000002</v>
      </c>
      <c r="D13" s="311">
        <f>+'Depreciation 5'!D13+'Depreciation 20'!D13</f>
        <v>0</v>
      </c>
      <c r="E13" s="311">
        <f>+'Depreciation 5'!E13+'Depreciation 20'!E13</f>
        <v>0</v>
      </c>
      <c r="F13" s="311">
        <f>+'Depreciation 5'!F13+'Depreciation 20'!F13</f>
        <v>0</v>
      </c>
      <c r="G13" s="311">
        <f>+'Depreciation 5'!G13+'Depreciation 20'!G13</f>
        <v>0</v>
      </c>
      <c r="H13" s="311">
        <f>+'Depreciation 5'!H13+'Depreciation 20'!H13</f>
        <v>0</v>
      </c>
      <c r="I13" s="311">
        <f>+'Depreciation 5'!I13+'Depreciation 20'!I13</f>
        <v>0</v>
      </c>
      <c r="J13" s="311">
        <f>+'Depreciation 5'!J13+'Depreciation 20'!J13</f>
        <v>0</v>
      </c>
      <c r="K13" s="311">
        <f>+'Depreciation 5'!K13+'Depreciation 20'!K13</f>
        <v>0</v>
      </c>
      <c r="L13" s="311">
        <f>+'Depreciation 5'!L13+'Depreciation 20'!L13</f>
        <v>0</v>
      </c>
      <c r="M13" s="311">
        <f>+'Depreciation 5'!M13+'Depreciation 20'!M13</f>
        <v>0</v>
      </c>
      <c r="N13" s="311">
        <f>+'Depreciation 5'!N13+'Depreciation 20'!N13</f>
        <v>0</v>
      </c>
      <c r="O13" s="311">
        <f>+'Depreciation 5'!O13+'Depreciation 20'!O13</f>
        <v>0</v>
      </c>
      <c r="P13" s="311">
        <f>+'Depreciation 5'!P13+'Depreciation 20'!P13</f>
        <v>0</v>
      </c>
      <c r="Q13" s="311">
        <f>+'Depreciation 5'!Q13+'Depreciation 20'!Q13</f>
        <v>0</v>
      </c>
      <c r="R13" s="311">
        <f>+'Depreciation 5'!R13+'Depreciation 20'!R13</f>
        <v>0</v>
      </c>
      <c r="S13" s="311">
        <f>+'Depreciation 5'!S13+'Depreciation 20'!S13</f>
        <v>0</v>
      </c>
      <c r="T13" s="311">
        <f>+'Depreciation 5'!T13+'Depreciation 20'!T13</f>
        <v>0</v>
      </c>
      <c r="U13" s="311">
        <f>+'Depreciation 5'!U13+'Depreciation 20'!U13</f>
        <v>0</v>
      </c>
      <c r="V13" s="311">
        <f>+'Depreciation 5'!V13+'Depreciation 20'!V13</f>
        <v>0</v>
      </c>
      <c r="W13" s="311">
        <f>+'Depreciation 5'!W13+'Depreciation 20'!W13</f>
        <v>0</v>
      </c>
    </row>
    <row r="14" spans="1:24" s="216" customFormat="1" ht="12.75">
      <c r="A14" s="306">
        <f t="shared" si="1"/>
        <v>8</v>
      </c>
      <c r="B14" s="311">
        <f>+'Depreciation 5'!B14+'Depreciation 20'!B14</f>
        <v>0</v>
      </c>
      <c r="C14" s="311">
        <f>+'Depreciation 5'!C14+'Depreciation 20'!C14</f>
        <v>29461086.060000002</v>
      </c>
      <c r="D14" s="311">
        <f>+'Depreciation 5'!D14+'Depreciation 20'!D14</f>
        <v>0</v>
      </c>
      <c r="E14" s="311">
        <f>+'Depreciation 5'!E14+'Depreciation 20'!E14</f>
        <v>0</v>
      </c>
      <c r="F14" s="311">
        <f>+'Depreciation 5'!F14+'Depreciation 20'!F14</f>
        <v>0</v>
      </c>
      <c r="G14" s="311">
        <f>+'Depreciation 5'!G14+'Depreciation 20'!G14</f>
        <v>0</v>
      </c>
      <c r="H14" s="311">
        <f>+'Depreciation 5'!H14+'Depreciation 20'!H14</f>
        <v>0</v>
      </c>
      <c r="I14" s="311">
        <f>+'Depreciation 5'!I14+'Depreciation 20'!I14</f>
        <v>0</v>
      </c>
      <c r="J14" s="311">
        <f>+'Depreciation 5'!J14+'Depreciation 20'!J14</f>
        <v>0</v>
      </c>
      <c r="K14" s="311">
        <f>+'Depreciation 5'!K14+'Depreciation 20'!K14</f>
        <v>0</v>
      </c>
      <c r="L14" s="311">
        <f>+'Depreciation 5'!L14+'Depreciation 20'!L14</f>
        <v>0</v>
      </c>
      <c r="M14" s="311">
        <f>+'Depreciation 5'!M14+'Depreciation 20'!M14</f>
        <v>0</v>
      </c>
      <c r="N14" s="311">
        <f>+'Depreciation 5'!N14+'Depreciation 20'!N14</f>
        <v>0</v>
      </c>
      <c r="O14" s="311">
        <f>+'Depreciation 5'!O14+'Depreciation 20'!O14</f>
        <v>0</v>
      </c>
      <c r="P14" s="311">
        <f>+'Depreciation 5'!P14+'Depreciation 20'!P14</f>
        <v>0</v>
      </c>
      <c r="Q14" s="311">
        <f>+'Depreciation 5'!Q14+'Depreciation 20'!Q14</f>
        <v>0</v>
      </c>
      <c r="R14" s="311">
        <f>+'Depreciation 5'!R14+'Depreciation 20'!R14</f>
        <v>0</v>
      </c>
      <c r="S14" s="311">
        <f>+'Depreciation 5'!S14+'Depreciation 20'!S14</f>
        <v>0</v>
      </c>
      <c r="T14" s="311">
        <f>+'Depreciation 5'!T14+'Depreciation 20'!T14</f>
        <v>0</v>
      </c>
      <c r="U14" s="311">
        <f>+'Depreciation 5'!U14+'Depreciation 20'!U14</f>
        <v>0</v>
      </c>
      <c r="V14" s="311">
        <f>+'Depreciation 5'!V14+'Depreciation 20'!V14</f>
        <v>0</v>
      </c>
      <c r="W14" s="311">
        <f>+'Depreciation 5'!W14+'Depreciation 20'!W14</f>
        <v>0</v>
      </c>
    </row>
    <row r="15" spans="1:24" s="216" customFormat="1" ht="12.75">
      <c r="A15" s="306">
        <f t="shared" si="1"/>
        <v>9</v>
      </c>
      <c r="B15" s="311">
        <f>+'Depreciation 5'!B15+'Depreciation 20'!B15</f>
        <v>0</v>
      </c>
      <c r="C15" s="311">
        <f>+'Depreciation 5'!C15+'Depreciation 20'!C15</f>
        <v>29461086.060000002</v>
      </c>
      <c r="D15" s="311">
        <f>+'Depreciation 5'!D15+'Depreciation 20'!D15</f>
        <v>0</v>
      </c>
      <c r="E15" s="311">
        <f>+'Depreciation 5'!E15+'Depreciation 20'!E15</f>
        <v>0</v>
      </c>
      <c r="F15" s="311">
        <f>+'Depreciation 5'!F15+'Depreciation 20'!F15</f>
        <v>0</v>
      </c>
      <c r="G15" s="311">
        <f>+'Depreciation 5'!G15+'Depreciation 20'!G15</f>
        <v>0</v>
      </c>
      <c r="H15" s="311">
        <f>+'Depreciation 5'!H15+'Depreciation 20'!H15</f>
        <v>0</v>
      </c>
      <c r="I15" s="311">
        <f>+'Depreciation 5'!I15+'Depreciation 20'!I15</f>
        <v>0</v>
      </c>
      <c r="J15" s="311">
        <f>+'Depreciation 5'!J15+'Depreciation 20'!J15</f>
        <v>0</v>
      </c>
      <c r="K15" s="311">
        <f>+'Depreciation 5'!K15+'Depreciation 20'!K15</f>
        <v>0</v>
      </c>
      <c r="L15" s="311">
        <f>+'Depreciation 5'!L15+'Depreciation 20'!L15</f>
        <v>0</v>
      </c>
      <c r="M15" s="311">
        <f>+'Depreciation 5'!M15+'Depreciation 20'!M15</f>
        <v>0</v>
      </c>
      <c r="N15" s="311">
        <f>+'Depreciation 5'!N15+'Depreciation 20'!N15</f>
        <v>0</v>
      </c>
      <c r="O15" s="311">
        <f>+'Depreciation 5'!O15+'Depreciation 20'!O15</f>
        <v>0</v>
      </c>
      <c r="P15" s="311">
        <f>+'Depreciation 5'!P15+'Depreciation 20'!P15</f>
        <v>0</v>
      </c>
      <c r="Q15" s="311">
        <f>+'Depreciation 5'!Q15+'Depreciation 20'!Q15</f>
        <v>0</v>
      </c>
      <c r="R15" s="311">
        <f>+'Depreciation 5'!R15+'Depreciation 20'!R15</f>
        <v>0</v>
      </c>
      <c r="S15" s="311">
        <f>+'Depreciation 5'!S15+'Depreciation 20'!S15</f>
        <v>0</v>
      </c>
      <c r="T15" s="311">
        <f>+'Depreciation 5'!T15+'Depreciation 20'!T15</f>
        <v>0</v>
      </c>
      <c r="U15" s="311">
        <f>+'Depreciation 5'!U15+'Depreciation 20'!U15</f>
        <v>0</v>
      </c>
      <c r="V15" s="311">
        <f>+'Depreciation 5'!V15+'Depreciation 20'!V15</f>
        <v>0</v>
      </c>
      <c r="W15" s="311">
        <f>+'Depreciation 5'!W15+'Depreciation 20'!W15</f>
        <v>0</v>
      </c>
    </row>
    <row r="16" spans="1:24" s="216" customFormat="1" ht="12.75">
      <c r="A16" s="306">
        <f t="shared" si="1"/>
        <v>10</v>
      </c>
      <c r="B16" s="311">
        <f>+'Depreciation 5'!B16+'Depreciation 20'!B16</f>
        <v>0</v>
      </c>
      <c r="C16" s="311">
        <f>+'Depreciation 5'!C16+'Depreciation 20'!C16</f>
        <v>29461086.060000002</v>
      </c>
      <c r="D16" s="311">
        <f>+'Depreciation 5'!D16+'Depreciation 20'!D16</f>
        <v>0</v>
      </c>
      <c r="E16" s="311">
        <f>+'Depreciation 5'!E16+'Depreciation 20'!E16</f>
        <v>0</v>
      </c>
      <c r="F16" s="311">
        <f>+'Depreciation 5'!F16+'Depreciation 20'!F16</f>
        <v>0</v>
      </c>
      <c r="G16" s="311">
        <f>+'Depreciation 5'!G16+'Depreciation 20'!G16</f>
        <v>0</v>
      </c>
      <c r="H16" s="311">
        <f>+'Depreciation 5'!H16+'Depreciation 20'!H16</f>
        <v>0</v>
      </c>
      <c r="I16" s="311">
        <f>+'Depreciation 5'!I16+'Depreciation 20'!I16</f>
        <v>0</v>
      </c>
      <c r="J16" s="311">
        <f>+'Depreciation 5'!J16+'Depreciation 20'!J16</f>
        <v>0</v>
      </c>
      <c r="K16" s="311">
        <f>+'Depreciation 5'!K16+'Depreciation 20'!K16</f>
        <v>0</v>
      </c>
      <c r="L16" s="311">
        <f>+'Depreciation 5'!L16+'Depreciation 20'!L16</f>
        <v>0</v>
      </c>
      <c r="M16" s="311">
        <f>+'Depreciation 5'!M16+'Depreciation 20'!M16</f>
        <v>0</v>
      </c>
      <c r="N16" s="311">
        <f>+'Depreciation 5'!N16+'Depreciation 20'!N16</f>
        <v>0</v>
      </c>
      <c r="O16" s="311">
        <f>+'Depreciation 5'!O16+'Depreciation 20'!O16</f>
        <v>0</v>
      </c>
      <c r="P16" s="311">
        <f>+'Depreciation 5'!P16+'Depreciation 20'!P16</f>
        <v>0</v>
      </c>
      <c r="Q16" s="311">
        <f>+'Depreciation 5'!Q16+'Depreciation 20'!Q16</f>
        <v>0</v>
      </c>
      <c r="R16" s="311">
        <f>+'Depreciation 5'!R16+'Depreciation 20'!R16</f>
        <v>0</v>
      </c>
      <c r="S16" s="311">
        <f>+'Depreciation 5'!S16+'Depreciation 20'!S16</f>
        <v>0</v>
      </c>
      <c r="T16" s="311">
        <f>+'Depreciation 5'!T16+'Depreciation 20'!T16</f>
        <v>0</v>
      </c>
      <c r="U16" s="311">
        <f>+'Depreciation 5'!U16+'Depreciation 20'!U16</f>
        <v>0</v>
      </c>
      <c r="V16" s="311">
        <f>+'Depreciation 5'!V16+'Depreciation 20'!V16</f>
        <v>0</v>
      </c>
      <c r="W16" s="311">
        <f>+'Depreciation 5'!W16+'Depreciation 20'!W16</f>
        <v>0</v>
      </c>
    </row>
    <row r="17" spans="1:23" s="216" customFormat="1" ht="12.75">
      <c r="A17" s="306">
        <f t="shared" si="1"/>
        <v>11</v>
      </c>
      <c r="B17" s="311">
        <f>+'Depreciation 5'!B17+'Depreciation 20'!B17</f>
        <v>0</v>
      </c>
      <c r="C17" s="311">
        <f>+'Depreciation 5'!C17+'Depreciation 20'!C17</f>
        <v>29461086.060000002</v>
      </c>
      <c r="D17" s="311">
        <f>+'Depreciation 5'!D17+'Depreciation 20'!D17</f>
        <v>0</v>
      </c>
      <c r="E17" s="311">
        <f>+'Depreciation 5'!E17+'Depreciation 20'!E17</f>
        <v>0</v>
      </c>
      <c r="F17" s="311">
        <f>+'Depreciation 5'!F17+'Depreciation 20'!F17</f>
        <v>0</v>
      </c>
      <c r="G17" s="311">
        <f>+'Depreciation 5'!G17+'Depreciation 20'!G17</f>
        <v>0</v>
      </c>
      <c r="H17" s="311">
        <f>+'Depreciation 5'!H17+'Depreciation 20'!H17</f>
        <v>0</v>
      </c>
      <c r="I17" s="311">
        <f>+'Depreciation 5'!I17+'Depreciation 20'!I17</f>
        <v>0</v>
      </c>
      <c r="J17" s="311">
        <f>+'Depreciation 5'!J17+'Depreciation 20'!J17</f>
        <v>0</v>
      </c>
      <c r="K17" s="311">
        <f>+'Depreciation 5'!K17+'Depreciation 20'!K17</f>
        <v>0</v>
      </c>
      <c r="L17" s="311">
        <f>+'Depreciation 5'!L17+'Depreciation 20'!L17</f>
        <v>0</v>
      </c>
      <c r="M17" s="311">
        <f>+'Depreciation 5'!M17+'Depreciation 20'!M17</f>
        <v>0</v>
      </c>
      <c r="N17" s="311">
        <f>+'Depreciation 5'!N17+'Depreciation 20'!N17</f>
        <v>0</v>
      </c>
      <c r="O17" s="311">
        <f>+'Depreciation 5'!O17+'Depreciation 20'!O17</f>
        <v>0</v>
      </c>
      <c r="P17" s="311">
        <f>+'Depreciation 5'!P17+'Depreciation 20'!P17</f>
        <v>0</v>
      </c>
      <c r="Q17" s="311">
        <f>+'Depreciation 5'!Q17+'Depreciation 20'!Q17</f>
        <v>0</v>
      </c>
      <c r="R17" s="311">
        <f>+'Depreciation 5'!R17+'Depreciation 20'!R17</f>
        <v>0</v>
      </c>
      <c r="S17" s="311">
        <f>+'Depreciation 5'!S17+'Depreciation 20'!S17</f>
        <v>0</v>
      </c>
      <c r="T17" s="311">
        <f>+'Depreciation 5'!T17+'Depreciation 20'!T17</f>
        <v>0</v>
      </c>
      <c r="U17" s="311">
        <f>+'Depreciation 5'!U17+'Depreciation 20'!U17</f>
        <v>0</v>
      </c>
      <c r="V17" s="311">
        <f>+'Depreciation 5'!V17+'Depreciation 20'!V17</f>
        <v>0</v>
      </c>
      <c r="W17" s="311">
        <f>+'Depreciation 5'!W17+'Depreciation 20'!W17</f>
        <v>0</v>
      </c>
    </row>
    <row r="18" spans="1:23" s="216" customFormat="1" ht="12.75">
      <c r="A18" s="306">
        <f t="shared" si="1"/>
        <v>12</v>
      </c>
      <c r="B18" s="311">
        <f>+'Depreciation 5'!B18+'Depreciation 20'!B18</f>
        <v>0</v>
      </c>
      <c r="C18" s="311">
        <f>+'Depreciation 5'!C18+'Depreciation 20'!C18</f>
        <v>29461086.060000002</v>
      </c>
      <c r="D18" s="311">
        <f>+'Depreciation 5'!D18+'Depreciation 20'!D18</f>
        <v>0</v>
      </c>
      <c r="E18" s="311">
        <f>+'Depreciation 5'!E18+'Depreciation 20'!E18</f>
        <v>0</v>
      </c>
      <c r="F18" s="311">
        <f>+'Depreciation 5'!F18+'Depreciation 20'!F18</f>
        <v>0</v>
      </c>
      <c r="G18" s="311">
        <f>+'Depreciation 5'!G18+'Depreciation 20'!G18</f>
        <v>0</v>
      </c>
      <c r="H18" s="311">
        <f>+'Depreciation 5'!H18+'Depreciation 20'!H18</f>
        <v>0</v>
      </c>
      <c r="I18" s="311">
        <f>+'Depreciation 5'!I18+'Depreciation 20'!I18</f>
        <v>0</v>
      </c>
      <c r="J18" s="311">
        <f>+'Depreciation 5'!J18+'Depreciation 20'!J18</f>
        <v>0</v>
      </c>
      <c r="K18" s="311">
        <f>+'Depreciation 5'!K18+'Depreciation 20'!K18</f>
        <v>0</v>
      </c>
      <c r="L18" s="311">
        <f>+'Depreciation 5'!L18+'Depreciation 20'!L18</f>
        <v>0</v>
      </c>
      <c r="M18" s="311">
        <f>+'Depreciation 5'!M18+'Depreciation 20'!M18</f>
        <v>0</v>
      </c>
      <c r="N18" s="311">
        <f>+'Depreciation 5'!N18+'Depreciation 20'!N18</f>
        <v>0</v>
      </c>
      <c r="O18" s="311">
        <f>+'Depreciation 5'!O18+'Depreciation 20'!O18</f>
        <v>0</v>
      </c>
      <c r="P18" s="311">
        <f>+'Depreciation 5'!P18+'Depreciation 20'!P18</f>
        <v>0</v>
      </c>
      <c r="Q18" s="311">
        <f>+'Depreciation 5'!Q18+'Depreciation 20'!Q18</f>
        <v>0</v>
      </c>
      <c r="R18" s="311">
        <f>+'Depreciation 5'!R18+'Depreciation 20'!R18</f>
        <v>0</v>
      </c>
      <c r="S18" s="311">
        <f>+'Depreciation 5'!S18+'Depreciation 20'!S18</f>
        <v>0</v>
      </c>
      <c r="T18" s="311">
        <f>+'Depreciation 5'!T18+'Depreciation 20'!T18</f>
        <v>0</v>
      </c>
      <c r="U18" s="311">
        <f>+'Depreciation 5'!U18+'Depreciation 20'!U18</f>
        <v>0</v>
      </c>
      <c r="V18" s="311">
        <f>+'Depreciation 5'!V18+'Depreciation 20'!V18</f>
        <v>0</v>
      </c>
      <c r="W18" s="311">
        <f>+'Depreciation 5'!W18+'Depreciation 20'!W18</f>
        <v>0</v>
      </c>
    </row>
    <row r="19" spans="1:23" s="216" customFormat="1" ht="12.75">
      <c r="A19" s="306">
        <f t="shared" si="1"/>
        <v>13</v>
      </c>
      <c r="B19" s="311">
        <f>+'Depreciation 5'!B19+'Depreciation 20'!B19</f>
        <v>0</v>
      </c>
      <c r="C19" s="311">
        <f>+'Depreciation 5'!C19+'Depreciation 20'!C19</f>
        <v>29461086.060000002</v>
      </c>
      <c r="D19" s="311">
        <f>+'Depreciation 5'!D19+'Depreciation 20'!D19</f>
        <v>0</v>
      </c>
      <c r="E19" s="311">
        <f>+'Depreciation 5'!E19+'Depreciation 20'!E19</f>
        <v>0</v>
      </c>
      <c r="F19" s="311">
        <f>+'Depreciation 5'!F19+'Depreciation 20'!F19</f>
        <v>0</v>
      </c>
      <c r="G19" s="311">
        <f>+'Depreciation 5'!G19+'Depreciation 20'!G19</f>
        <v>0</v>
      </c>
      <c r="H19" s="311">
        <f>+'Depreciation 5'!H19+'Depreciation 20'!H19</f>
        <v>0</v>
      </c>
      <c r="I19" s="311">
        <f>+'Depreciation 5'!I19+'Depreciation 20'!I19</f>
        <v>0</v>
      </c>
      <c r="J19" s="311">
        <f>+'Depreciation 5'!J19+'Depreciation 20'!J19</f>
        <v>0</v>
      </c>
      <c r="K19" s="311">
        <f>+'Depreciation 5'!K19+'Depreciation 20'!K19</f>
        <v>0</v>
      </c>
      <c r="L19" s="311">
        <f>+'Depreciation 5'!L19+'Depreciation 20'!L19</f>
        <v>0</v>
      </c>
      <c r="M19" s="311">
        <f>+'Depreciation 5'!M19+'Depreciation 20'!M19</f>
        <v>0</v>
      </c>
      <c r="N19" s="311">
        <f>+'Depreciation 5'!N19+'Depreciation 20'!N19</f>
        <v>0</v>
      </c>
      <c r="O19" s="311">
        <f>+'Depreciation 5'!O19+'Depreciation 20'!O19</f>
        <v>0</v>
      </c>
      <c r="P19" s="311">
        <f>+'Depreciation 5'!P19+'Depreciation 20'!P19</f>
        <v>0</v>
      </c>
      <c r="Q19" s="311">
        <f>+'Depreciation 5'!Q19+'Depreciation 20'!Q19</f>
        <v>0</v>
      </c>
      <c r="R19" s="311">
        <f>+'Depreciation 5'!R19+'Depreciation 20'!R19</f>
        <v>0</v>
      </c>
      <c r="S19" s="311">
        <f>+'Depreciation 5'!S19+'Depreciation 20'!S19</f>
        <v>0</v>
      </c>
      <c r="T19" s="311">
        <f>+'Depreciation 5'!T19+'Depreciation 20'!T19</f>
        <v>0</v>
      </c>
      <c r="U19" s="311">
        <f>+'Depreciation 5'!U19+'Depreciation 20'!U19</f>
        <v>0</v>
      </c>
      <c r="V19" s="311">
        <f>+'Depreciation 5'!V19+'Depreciation 20'!V19</f>
        <v>0</v>
      </c>
      <c r="W19" s="311">
        <f>+'Depreciation 5'!W19+'Depreciation 20'!W19</f>
        <v>0</v>
      </c>
    </row>
    <row r="20" spans="1:23" s="216" customFormat="1" ht="12.75">
      <c r="A20" s="306">
        <f t="shared" si="1"/>
        <v>14</v>
      </c>
      <c r="B20" s="311">
        <f>+'Depreciation 5'!B20+'Depreciation 20'!B20</f>
        <v>0</v>
      </c>
      <c r="C20" s="311">
        <f>+'Depreciation 5'!C20+'Depreciation 20'!C20</f>
        <v>29461086.060000002</v>
      </c>
      <c r="D20" s="311">
        <f>+'Depreciation 5'!D20+'Depreciation 20'!D20</f>
        <v>0</v>
      </c>
      <c r="E20" s="311">
        <f>+'Depreciation 5'!E20+'Depreciation 20'!E20</f>
        <v>0</v>
      </c>
      <c r="F20" s="311">
        <f>+'Depreciation 5'!F20+'Depreciation 20'!F20</f>
        <v>0</v>
      </c>
      <c r="G20" s="311">
        <f>+'Depreciation 5'!G20+'Depreciation 20'!G20</f>
        <v>0</v>
      </c>
      <c r="H20" s="311">
        <f>+'Depreciation 5'!H20+'Depreciation 20'!H20</f>
        <v>0</v>
      </c>
      <c r="I20" s="311">
        <f>+'Depreciation 5'!I20+'Depreciation 20'!I20</f>
        <v>0</v>
      </c>
      <c r="J20" s="311">
        <f>+'Depreciation 5'!J20+'Depreciation 20'!J20</f>
        <v>0</v>
      </c>
      <c r="K20" s="311">
        <f>+'Depreciation 5'!K20+'Depreciation 20'!K20</f>
        <v>0</v>
      </c>
      <c r="L20" s="311">
        <f>+'Depreciation 5'!L20+'Depreciation 20'!L20</f>
        <v>0</v>
      </c>
      <c r="M20" s="311">
        <f>+'Depreciation 5'!M20+'Depreciation 20'!M20</f>
        <v>0</v>
      </c>
      <c r="N20" s="311">
        <f>+'Depreciation 5'!N20+'Depreciation 20'!N20</f>
        <v>0</v>
      </c>
      <c r="O20" s="311">
        <f>+'Depreciation 5'!O20+'Depreciation 20'!O20</f>
        <v>0</v>
      </c>
      <c r="P20" s="311">
        <f>+'Depreciation 5'!P20+'Depreciation 20'!P20</f>
        <v>0</v>
      </c>
      <c r="Q20" s="311">
        <f>+'Depreciation 5'!Q20+'Depreciation 20'!Q20</f>
        <v>0</v>
      </c>
      <c r="R20" s="311">
        <f>+'Depreciation 5'!R20+'Depreciation 20'!R20</f>
        <v>0</v>
      </c>
      <c r="S20" s="311">
        <f>+'Depreciation 5'!S20+'Depreciation 20'!S20</f>
        <v>0</v>
      </c>
      <c r="T20" s="311">
        <f>+'Depreciation 5'!T20+'Depreciation 20'!T20</f>
        <v>0</v>
      </c>
      <c r="U20" s="311">
        <f>+'Depreciation 5'!U20+'Depreciation 20'!U20</f>
        <v>0</v>
      </c>
      <c r="V20" s="311">
        <f>+'Depreciation 5'!V20+'Depreciation 20'!V20</f>
        <v>0</v>
      </c>
      <c r="W20" s="311">
        <f>+'Depreciation 5'!W20+'Depreciation 20'!W20</f>
        <v>0</v>
      </c>
    </row>
    <row r="21" spans="1:23" s="216" customFormat="1" ht="12.75">
      <c r="A21" s="306">
        <f t="shared" si="1"/>
        <v>15</v>
      </c>
      <c r="B21" s="311">
        <f>+'Depreciation 5'!B21+'Depreciation 20'!B21</f>
        <v>0</v>
      </c>
      <c r="C21" s="311">
        <f>+'Depreciation 5'!C21+'Depreciation 20'!C21</f>
        <v>29461086.060000002</v>
      </c>
      <c r="D21" s="311">
        <f>+'Depreciation 5'!D21+'Depreciation 20'!D21</f>
        <v>0</v>
      </c>
      <c r="E21" s="311">
        <f>+'Depreciation 5'!E21+'Depreciation 20'!E21</f>
        <v>0</v>
      </c>
      <c r="F21" s="311">
        <f>+'Depreciation 5'!F21+'Depreciation 20'!F21</f>
        <v>0</v>
      </c>
      <c r="G21" s="311">
        <f>+'Depreciation 5'!G21+'Depreciation 20'!G21</f>
        <v>0</v>
      </c>
      <c r="H21" s="311">
        <f>+'Depreciation 5'!H21+'Depreciation 20'!H21</f>
        <v>0</v>
      </c>
      <c r="I21" s="311">
        <f>+'Depreciation 5'!I21+'Depreciation 20'!I21</f>
        <v>0</v>
      </c>
      <c r="J21" s="311">
        <f>+'Depreciation 5'!J21+'Depreciation 20'!J21</f>
        <v>0</v>
      </c>
      <c r="K21" s="311">
        <f>+'Depreciation 5'!K21+'Depreciation 20'!K21</f>
        <v>0</v>
      </c>
      <c r="L21" s="311">
        <f>+'Depreciation 5'!L21+'Depreciation 20'!L21</f>
        <v>0</v>
      </c>
      <c r="M21" s="311">
        <f>+'Depreciation 5'!M21+'Depreciation 20'!M21</f>
        <v>0</v>
      </c>
      <c r="N21" s="311">
        <f>+'Depreciation 5'!N21+'Depreciation 20'!N21</f>
        <v>0</v>
      </c>
      <c r="O21" s="311">
        <f>+'Depreciation 5'!O21+'Depreciation 20'!O21</f>
        <v>0</v>
      </c>
      <c r="P21" s="311">
        <f>+'Depreciation 5'!P21+'Depreciation 20'!P21</f>
        <v>0</v>
      </c>
      <c r="Q21" s="311">
        <f>+'Depreciation 5'!Q21+'Depreciation 20'!Q21</f>
        <v>0</v>
      </c>
      <c r="R21" s="311">
        <f>+'Depreciation 5'!R21+'Depreciation 20'!R21</f>
        <v>0</v>
      </c>
      <c r="S21" s="311">
        <f>+'Depreciation 5'!S21+'Depreciation 20'!S21</f>
        <v>0</v>
      </c>
      <c r="T21" s="311">
        <f>+'Depreciation 5'!T21+'Depreciation 20'!T21</f>
        <v>0</v>
      </c>
      <c r="U21" s="311">
        <f>+'Depreciation 5'!U21+'Depreciation 20'!U21</f>
        <v>0</v>
      </c>
      <c r="V21" s="311">
        <f>+'Depreciation 5'!V21+'Depreciation 20'!V21</f>
        <v>0</v>
      </c>
      <c r="W21" s="311">
        <f>+'Depreciation 5'!W21+'Depreciation 20'!W21</f>
        <v>0</v>
      </c>
    </row>
    <row r="22" spans="1:23" s="216" customFormat="1" ht="12.75">
      <c r="A22" s="306">
        <f t="shared" si="1"/>
        <v>16</v>
      </c>
      <c r="B22" s="311">
        <f>+'Depreciation 5'!B22+'Depreciation 20'!B22</f>
        <v>0</v>
      </c>
      <c r="C22" s="311">
        <f>+'Depreciation 5'!C22+'Depreciation 20'!C22</f>
        <v>29461086.060000002</v>
      </c>
      <c r="D22" s="311">
        <f>+'Depreciation 5'!D22+'Depreciation 20'!D22</f>
        <v>0</v>
      </c>
      <c r="E22" s="311">
        <f>+'Depreciation 5'!E22+'Depreciation 20'!E22</f>
        <v>0</v>
      </c>
      <c r="F22" s="311">
        <f>+'Depreciation 5'!F22+'Depreciation 20'!F22</f>
        <v>0</v>
      </c>
      <c r="G22" s="311">
        <f>+'Depreciation 5'!G22+'Depreciation 20'!G22</f>
        <v>0</v>
      </c>
      <c r="H22" s="311">
        <f>+'Depreciation 5'!H22+'Depreciation 20'!H22</f>
        <v>0</v>
      </c>
      <c r="I22" s="311">
        <f>+'Depreciation 5'!I22+'Depreciation 20'!I22</f>
        <v>0</v>
      </c>
      <c r="J22" s="311">
        <f>+'Depreciation 5'!J22+'Depreciation 20'!J22</f>
        <v>0</v>
      </c>
      <c r="K22" s="311">
        <f>+'Depreciation 5'!K22+'Depreciation 20'!K22</f>
        <v>0</v>
      </c>
      <c r="L22" s="311">
        <f>+'Depreciation 5'!L22+'Depreciation 20'!L22</f>
        <v>0</v>
      </c>
      <c r="M22" s="311">
        <f>+'Depreciation 5'!M22+'Depreciation 20'!M22</f>
        <v>0</v>
      </c>
      <c r="N22" s="311">
        <f>+'Depreciation 5'!N22+'Depreciation 20'!N22</f>
        <v>0</v>
      </c>
      <c r="O22" s="311">
        <f>+'Depreciation 5'!O22+'Depreciation 20'!O22</f>
        <v>0</v>
      </c>
      <c r="P22" s="311">
        <f>+'Depreciation 5'!P22+'Depreciation 20'!P22</f>
        <v>0</v>
      </c>
      <c r="Q22" s="311">
        <f>+'Depreciation 5'!Q22+'Depreciation 20'!Q22</f>
        <v>0</v>
      </c>
      <c r="R22" s="311">
        <f>+'Depreciation 5'!R22+'Depreciation 20'!R22</f>
        <v>0</v>
      </c>
      <c r="S22" s="311">
        <f>+'Depreciation 5'!S22+'Depreciation 20'!S22</f>
        <v>0</v>
      </c>
      <c r="T22" s="311">
        <f>+'Depreciation 5'!T22+'Depreciation 20'!T22</f>
        <v>0</v>
      </c>
      <c r="U22" s="311">
        <f>+'Depreciation 5'!U22+'Depreciation 20'!U22</f>
        <v>0</v>
      </c>
      <c r="V22" s="311">
        <f>+'Depreciation 5'!V22+'Depreciation 20'!V22</f>
        <v>0</v>
      </c>
      <c r="W22" s="311">
        <f>+'Depreciation 5'!W22+'Depreciation 20'!W22</f>
        <v>0</v>
      </c>
    </row>
    <row r="23" spans="1:23" s="216" customFormat="1" ht="12.75">
      <c r="A23" s="306">
        <f t="shared" si="1"/>
        <v>17</v>
      </c>
      <c r="B23" s="311">
        <f>+'Depreciation 5'!B23+'Depreciation 20'!B23</f>
        <v>0</v>
      </c>
      <c r="C23" s="311">
        <f>+'Depreciation 5'!C23+'Depreciation 20'!C23</f>
        <v>29461086.060000002</v>
      </c>
      <c r="D23" s="311">
        <f>+'Depreciation 5'!D23+'Depreciation 20'!D23</f>
        <v>0</v>
      </c>
      <c r="E23" s="311">
        <f>+'Depreciation 5'!E23+'Depreciation 20'!E23</f>
        <v>0</v>
      </c>
      <c r="F23" s="311">
        <f>+'Depreciation 5'!F23+'Depreciation 20'!F23</f>
        <v>0</v>
      </c>
      <c r="G23" s="311">
        <f>+'Depreciation 5'!G23+'Depreciation 20'!G23</f>
        <v>0</v>
      </c>
      <c r="H23" s="311">
        <f>+'Depreciation 5'!H23+'Depreciation 20'!H23</f>
        <v>0</v>
      </c>
      <c r="I23" s="311">
        <f>+'Depreciation 5'!I23+'Depreciation 20'!I23</f>
        <v>0</v>
      </c>
      <c r="J23" s="311">
        <f>+'Depreciation 5'!J23+'Depreciation 20'!J23</f>
        <v>0</v>
      </c>
      <c r="K23" s="311">
        <f>+'Depreciation 5'!K23+'Depreciation 20'!K23</f>
        <v>0</v>
      </c>
      <c r="L23" s="311">
        <f>+'Depreciation 5'!L23+'Depreciation 20'!L23</f>
        <v>0</v>
      </c>
      <c r="M23" s="311">
        <f>+'Depreciation 5'!M23+'Depreciation 20'!M23</f>
        <v>0</v>
      </c>
      <c r="N23" s="311">
        <f>+'Depreciation 5'!N23+'Depreciation 20'!N23</f>
        <v>0</v>
      </c>
      <c r="O23" s="311">
        <f>+'Depreciation 5'!O23+'Depreciation 20'!O23</f>
        <v>0</v>
      </c>
      <c r="P23" s="311">
        <f>+'Depreciation 5'!P23+'Depreciation 20'!P23</f>
        <v>0</v>
      </c>
      <c r="Q23" s="311">
        <f>+'Depreciation 5'!Q23+'Depreciation 20'!Q23</f>
        <v>0</v>
      </c>
      <c r="R23" s="311">
        <f>+'Depreciation 5'!R23+'Depreciation 20'!R23</f>
        <v>0</v>
      </c>
      <c r="S23" s="311">
        <f>+'Depreciation 5'!S23+'Depreciation 20'!S23</f>
        <v>0</v>
      </c>
      <c r="T23" s="311">
        <f>+'Depreciation 5'!T23+'Depreciation 20'!T23</f>
        <v>0</v>
      </c>
      <c r="U23" s="311">
        <f>+'Depreciation 5'!U23+'Depreciation 20'!U23</f>
        <v>0</v>
      </c>
      <c r="V23" s="311">
        <f>+'Depreciation 5'!V23+'Depreciation 20'!V23</f>
        <v>0</v>
      </c>
      <c r="W23" s="311">
        <f>+'Depreciation 5'!W23+'Depreciation 20'!W23</f>
        <v>0</v>
      </c>
    </row>
    <row r="24" spans="1:23" s="216" customFormat="1" ht="12.75">
      <c r="A24" s="306">
        <f t="shared" si="1"/>
        <v>18</v>
      </c>
      <c r="B24" s="311">
        <f>+'Depreciation 5'!B24+'Depreciation 20'!B24</f>
        <v>0</v>
      </c>
      <c r="C24" s="311">
        <f>+'Depreciation 5'!C24+'Depreciation 20'!C24</f>
        <v>29461086.060000002</v>
      </c>
      <c r="D24" s="311">
        <f>+'Depreciation 5'!D24+'Depreciation 20'!D24</f>
        <v>0</v>
      </c>
      <c r="E24" s="311">
        <f>+'Depreciation 5'!E24+'Depreciation 20'!E24</f>
        <v>0</v>
      </c>
      <c r="F24" s="311">
        <f>+'Depreciation 5'!F24+'Depreciation 20'!F24</f>
        <v>0</v>
      </c>
      <c r="G24" s="311">
        <f>+'Depreciation 5'!G24+'Depreciation 20'!G24</f>
        <v>0</v>
      </c>
      <c r="H24" s="311">
        <f>+'Depreciation 5'!H24+'Depreciation 20'!H24</f>
        <v>0</v>
      </c>
      <c r="I24" s="311">
        <f>+'Depreciation 5'!I24+'Depreciation 20'!I24</f>
        <v>0</v>
      </c>
      <c r="J24" s="311">
        <f>+'Depreciation 5'!J24+'Depreciation 20'!J24</f>
        <v>0</v>
      </c>
      <c r="K24" s="311">
        <f>+'Depreciation 5'!K24+'Depreciation 20'!K24</f>
        <v>0</v>
      </c>
      <c r="L24" s="311">
        <f>+'Depreciation 5'!L24+'Depreciation 20'!L24</f>
        <v>0</v>
      </c>
      <c r="M24" s="311">
        <f>+'Depreciation 5'!M24+'Depreciation 20'!M24</f>
        <v>0</v>
      </c>
      <c r="N24" s="311">
        <f>+'Depreciation 5'!N24+'Depreciation 20'!N24</f>
        <v>0</v>
      </c>
      <c r="O24" s="311">
        <f>+'Depreciation 5'!O24+'Depreciation 20'!O24</f>
        <v>0</v>
      </c>
      <c r="P24" s="311">
        <f>+'Depreciation 5'!P24+'Depreciation 20'!P24</f>
        <v>0</v>
      </c>
      <c r="Q24" s="311">
        <f>+'Depreciation 5'!Q24+'Depreciation 20'!Q24</f>
        <v>0</v>
      </c>
      <c r="R24" s="311">
        <f>+'Depreciation 5'!R24+'Depreciation 20'!R24</f>
        <v>0</v>
      </c>
      <c r="S24" s="311">
        <f>+'Depreciation 5'!S24+'Depreciation 20'!S24</f>
        <v>0</v>
      </c>
      <c r="T24" s="311">
        <f>+'Depreciation 5'!T24+'Depreciation 20'!T24</f>
        <v>0</v>
      </c>
      <c r="U24" s="311">
        <f>+'Depreciation 5'!U24+'Depreciation 20'!U24</f>
        <v>0</v>
      </c>
      <c r="V24" s="311">
        <f>+'Depreciation 5'!V24+'Depreciation 20'!V24</f>
        <v>0</v>
      </c>
      <c r="W24" s="311">
        <f>+'Depreciation 5'!W24+'Depreciation 20'!W24</f>
        <v>0</v>
      </c>
    </row>
    <row r="25" spans="1:23" s="216" customFormat="1" ht="12.75">
      <c r="A25" s="306">
        <f t="shared" si="1"/>
        <v>19</v>
      </c>
      <c r="B25" s="311">
        <f>+'Depreciation 5'!B25+'Depreciation 20'!B25</f>
        <v>0</v>
      </c>
      <c r="C25" s="311">
        <f>+'Depreciation 5'!C25+'Depreciation 20'!C25</f>
        <v>29461086.060000002</v>
      </c>
      <c r="D25" s="311">
        <f>+'Depreciation 5'!D25+'Depreciation 20'!D25</f>
        <v>0</v>
      </c>
      <c r="E25" s="311">
        <f>+'Depreciation 5'!E25+'Depreciation 20'!E25</f>
        <v>0</v>
      </c>
      <c r="F25" s="311">
        <f>+'Depreciation 5'!F25+'Depreciation 20'!F25</f>
        <v>0</v>
      </c>
      <c r="G25" s="311">
        <f>+'Depreciation 5'!G25+'Depreciation 20'!G25</f>
        <v>0</v>
      </c>
      <c r="H25" s="311">
        <f>+'Depreciation 5'!H25+'Depreciation 20'!H25</f>
        <v>0</v>
      </c>
      <c r="I25" s="311">
        <f>+'Depreciation 5'!I25+'Depreciation 20'!I25</f>
        <v>0</v>
      </c>
      <c r="J25" s="311">
        <f>+'Depreciation 5'!J25+'Depreciation 20'!J25</f>
        <v>0</v>
      </c>
      <c r="K25" s="311">
        <f>+'Depreciation 5'!K25+'Depreciation 20'!K25</f>
        <v>0</v>
      </c>
      <c r="L25" s="311">
        <f>+'Depreciation 5'!L25+'Depreciation 20'!L25</f>
        <v>0</v>
      </c>
      <c r="M25" s="311">
        <f>+'Depreciation 5'!M25+'Depreciation 20'!M25</f>
        <v>0</v>
      </c>
      <c r="N25" s="311">
        <f>+'Depreciation 5'!N25+'Depreciation 20'!N25</f>
        <v>0</v>
      </c>
      <c r="O25" s="311">
        <f>+'Depreciation 5'!O25+'Depreciation 20'!O25</f>
        <v>0</v>
      </c>
      <c r="P25" s="311">
        <f>+'Depreciation 5'!P25+'Depreciation 20'!P25</f>
        <v>0</v>
      </c>
      <c r="Q25" s="311">
        <f>+'Depreciation 5'!Q25+'Depreciation 20'!Q25</f>
        <v>0</v>
      </c>
      <c r="R25" s="311">
        <f>+'Depreciation 5'!R25+'Depreciation 20'!R25</f>
        <v>0</v>
      </c>
      <c r="S25" s="311">
        <f>+'Depreciation 5'!S25+'Depreciation 20'!S25</f>
        <v>0</v>
      </c>
      <c r="T25" s="311">
        <f>+'Depreciation 5'!T25+'Depreciation 20'!T25</f>
        <v>0</v>
      </c>
      <c r="U25" s="311">
        <f>+'Depreciation 5'!U25+'Depreciation 20'!U25</f>
        <v>0</v>
      </c>
      <c r="V25" s="311">
        <f>+'Depreciation 5'!V25+'Depreciation 20'!V25</f>
        <v>0</v>
      </c>
      <c r="W25" s="311">
        <f>+'Depreciation 5'!W25+'Depreciation 20'!W25</f>
        <v>0</v>
      </c>
    </row>
    <row r="26" spans="1:23" s="216" customFormat="1" ht="12.75">
      <c r="A26" s="306">
        <f t="shared" si="1"/>
        <v>20</v>
      </c>
      <c r="B26" s="311">
        <f>+'Depreciation 5'!B26+'Depreciation 20'!B26</f>
        <v>0</v>
      </c>
      <c r="C26" s="311">
        <f>+'Depreciation 5'!C26+'Depreciation 20'!C26</f>
        <v>29461086.060000002</v>
      </c>
      <c r="D26" s="311">
        <f>+'Depreciation 5'!D26+'Depreciation 20'!D26</f>
        <v>0</v>
      </c>
      <c r="E26" s="311">
        <f>+'Depreciation 5'!E26+'Depreciation 20'!E26</f>
        <v>0</v>
      </c>
      <c r="F26" s="311">
        <f>+'Depreciation 5'!F26+'Depreciation 20'!F26</f>
        <v>0</v>
      </c>
      <c r="G26" s="311">
        <f>+'Depreciation 5'!G26+'Depreciation 20'!G26</f>
        <v>0</v>
      </c>
      <c r="H26" s="311">
        <f>+'Depreciation 5'!H26+'Depreciation 20'!H26</f>
        <v>0</v>
      </c>
      <c r="I26" s="311">
        <f>+'Depreciation 5'!I26+'Depreciation 20'!I26</f>
        <v>0</v>
      </c>
      <c r="J26" s="311">
        <f>+'Depreciation 5'!J26+'Depreciation 20'!J26</f>
        <v>0</v>
      </c>
      <c r="K26" s="311">
        <f>+'Depreciation 5'!K26+'Depreciation 20'!K26</f>
        <v>0</v>
      </c>
      <c r="L26" s="311">
        <f>+'Depreciation 5'!L26+'Depreciation 20'!L26</f>
        <v>0</v>
      </c>
      <c r="M26" s="311">
        <f>+'Depreciation 5'!M26+'Depreciation 20'!M26</f>
        <v>0</v>
      </c>
      <c r="N26" s="311">
        <f>+'Depreciation 5'!N26+'Depreciation 20'!N26</f>
        <v>0</v>
      </c>
      <c r="O26" s="311">
        <f>+'Depreciation 5'!O26+'Depreciation 20'!O26</f>
        <v>0</v>
      </c>
      <c r="P26" s="311">
        <f>+'Depreciation 5'!P26+'Depreciation 20'!P26</f>
        <v>0</v>
      </c>
      <c r="Q26" s="311">
        <f>+'Depreciation 5'!Q26+'Depreciation 20'!Q26</f>
        <v>0</v>
      </c>
      <c r="R26" s="311">
        <f>+'Depreciation 5'!R26+'Depreciation 20'!R26</f>
        <v>0</v>
      </c>
      <c r="S26" s="311">
        <f>+'Depreciation 5'!S26+'Depreciation 20'!S26</f>
        <v>0</v>
      </c>
      <c r="T26" s="311">
        <f>+'Depreciation 5'!T26+'Depreciation 20'!T26</f>
        <v>0</v>
      </c>
      <c r="U26" s="311">
        <f>+'Depreciation 5'!U26+'Depreciation 20'!U26</f>
        <v>0</v>
      </c>
      <c r="V26" s="311">
        <f>+'Depreciation 5'!V26+'Depreciation 20'!V26</f>
        <v>0</v>
      </c>
      <c r="W26" s="311">
        <f>+'Depreciation 5'!W26+'Depreciation 20'!W26</f>
        <v>0</v>
      </c>
    </row>
    <row r="27" spans="1:23" s="216" customFormat="1" ht="12.75">
      <c r="A27" s="305"/>
      <c r="B27" s="311"/>
      <c r="C27" s="312"/>
      <c r="D27" s="311"/>
      <c r="E27" s="311"/>
      <c r="F27" s="311"/>
      <c r="G27" s="311"/>
      <c r="H27" s="311"/>
      <c r="I27" s="311"/>
      <c r="J27" s="311"/>
      <c r="K27" s="311"/>
      <c r="L27" s="311"/>
      <c r="M27" s="312"/>
      <c r="N27" s="312"/>
      <c r="O27" s="312"/>
      <c r="P27" s="312"/>
      <c r="Q27" s="312"/>
      <c r="R27" s="312"/>
      <c r="S27" s="312"/>
      <c r="T27" s="312"/>
      <c r="U27" s="312"/>
      <c r="V27" s="312"/>
      <c r="W27" s="312"/>
    </row>
    <row r="28" spans="1:23" s="216" customFormat="1" ht="12.75">
      <c r="B28" s="314" t="s">
        <v>374</v>
      </c>
      <c r="C28" s="312"/>
      <c r="D28" s="311">
        <f t="shared" ref="D28:W28" si="2">SUM(D7:D26)</f>
        <v>779049.71200000006</v>
      </c>
      <c r="E28" s="311">
        <f t="shared" si="2"/>
        <v>2533072.3119999999</v>
      </c>
      <c r="F28" s="311">
        <f t="shared" si="2"/>
        <v>2539405.1119999997</v>
      </c>
      <c r="G28" s="311">
        <f t="shared" si="2"/>
        <v>2545737.9119999995</v>
      </c>
      <c r="H28" s="311">
        <f t="shared" si="2"/>
        <v>2545737.9119999995</v>
      </c>
      <c r="I28" s="311">
        <f t="shared" si="2"/>
        <v>2047067.7000000002</v>
      </c>
      <c r="J28" s="311">
        <f t="shared" si="2"/>
        <v>1128158.7000000002</v>
      </c>
      <c r="K28" s="311">
        <f t="shared" si="2"/>
        <v>1121825.9000000001</v>
      </c>
      <c r="L28" s="311">
        <f t="shared" si="2"/>
        <v>1115493.1000000001</v>
      </c>
      <c r="M28" s="311">
        <f t="shared" si="2"/>
        <v>1115493.1000000001</v>
      </c>
      <c r="N28" s="311">
        <f t="shared" si="2"/>
        <v>1115493.1000000001</v>
      </c>
      <c r="O28" s="311">
        <f t="shared" si="2"/>
        <v>1115493.1000000001</v>
      </c>
      <c r="P28" s="311">
        <f t="shared" si="2"/>
        <v>1115493.1000000001</v>
      </c>
      <c r="Q28" s="311">
        <f t="shared" si="2"/>
        <v>1115493.1000000001</v>
      </c>
      <c r="R28" s="311">
        <f t="shared" si="2"/>
        <v>1115493.1000000001</v>
      </c>
      <c r="S28" s="311">
        <f t="shared" si="2"/>
        <v>1115493.1000000001</v>
      </c>
      <c r="T28" s="311">
        <f t="shared" si="2"/>
        <v>1115493.1000000001</v>
      </c>
      <c r="U28" s="311">
        <f t="shared" si="2"/>
        <v>1115493.1000000001</v>
      </c>
      <c r="V28" s="311">
        <f t="shared" si="2"/>
        <v>1115493.1000000001</v>
      </c>
      <c r="W28" s="311">
        <f t="shared" si="2"/>
        <v>1115493.1000000001</v>
      </c>
    </row>
    <row r="29" spans="1:23" s="216" customFormat="1" ht="12.75">
      <c r="B29" s="314" t="s">
        <v>375</v>
      </c>
      <c r="C29" s="312"/>
      <c r="D29" s="311">
        <f t="array" ref="D29:W29">TRANSPOSE(C7:C26)</f>
        <v>8100941.0600000005</v>
      </c>
      <c r="E29" s="311">
        <v>29397758.060000002</v>
      </c>
      <c r="F29" s="311">
        <v>29429422.060000002</v>
      </c>
      <c r="G29" s="311">
        <v>29461086.060000002</v>
      </c>
      <c r="H29" s="311">
        <v>29461086.060000002</v>
      </c>
      <c r="I29" s="311">
        <v>29461086.060000002</v>
      </c>
      <c r="J29" s="311">
        <v>29461086.060000002</v>
      </c>
      <c r="K29" s="311">
        <v>29461086.060000002</v>
      </c>
      <c r="L29" s="311">
        <v>29461086.060000002</v>
      </c>
      <c r="M29" s="311">
        <v>29461086.060000002</v>
      </c>
      <c r="N29" s="311">
        <v>29461086.060000002</v>
      </c>
      <c r="O29" s="311">
        <v>29461086.060000002</v>
      </c>
      <c r="P29" s="311">
        <v>29461086.060000002</v>
      </c>
      <c r="Q29" s="311">
        <v>29461086.060000002</v>
      </c>
      <c r="R29" s="311">
        <v>29461086.060000002</v>
      </c>
      <c r="S29" s="311">
        <v>29461086.060000002</v>
      </c>
      <c r="T29" s="311">
        <v>29461086.060000002</v>
      </c>
      <c r="U29" s="311">
        <v>29461086.060000002</v>
      </c>
      <c r="V29" s="311">
        <v>29461086.060000002</v>
      </c>
      <c r="W29" s="311">
        <v>29461086.060000002</v>
      </c>
    </row>
    <row r="30" spans="1:23" s="216" customFormat="1" ht="12.75">
      <c r="B30" s="314" t="s">
        <v>376</v>
      </c>
      <c r="C30" s="312"/>
      <c r="D30" s="311">
        <f>+D28</f>
        <v>779049.71200000006</v>
      </c>
      <c r="E30" s="311">
        <f>+E28+D30</f>
        <v>3312122.0240000002</v>
      </c>
      <c r="F30" s="311">
        <f t="shared" ref="F30:W30" si="3">+F28+E30</f>
        <v>5851527.1359999999</v>
      </c>
      <c r="G30" s="311">
        <f t="shared" si="3"/>
        <v>8397265.0480000004</v>
      </c>
      <c r="H30" s="311">
        <f t="shared" si="3"/>
        <v>10943002.960000001</v>
      </c>
      <c r="I30" s="311">
        <f t="shared" si="3"/>
        <v>12990070.66</v>
      </c>
      <c r="J30" s="311">
        <f t="shared" si="3"/>
        <v>14118229.359999999</v>
      </c>
      <c r="K30" s="311">
        <f t="shared" si="3"/>
        <v>15240055.26</v>
      </c>
      <c r="L30" s="311">
        <f t="shared" si="3"/>
        <v>16355548.359999999</v>
      </c>
      <c r="M30" s="311">
        <f t="shared" si="3"/>
        <v>17471041.460000001</v>
      </c>
      <c r="N30" s="311">
        <f t="shared" si="3"/>
        <v>18586534.560000002</v>
      </c>
      <c r="O30" s="311">
        <f t="shared" si="3"/>
        <v>19702027.660000004</v>
      </c>
      <c r="P30" s="311">
        <f t="shared" si="3"/>
        <v>20817520.760000005</v>
      </c>
      <c r="Q30" s="311">
        <f t="shared" si="3"/>
        <v>21933013.860000007</v>
      </c>
      <c r="R30" s="311">
        <f t="shared" si="3"/>
        <v>23048506.960000008</v>
      </c>
      <c r="S30" s="311">
        <f t="shared" si="3"/>
        <v>24164000.06000001</v>
      </c>
      <c r="T30" s="311">
        <f t="shared" si="3"/>
        <v>25279493.160000011</v>
      </c>
      <c r="U30" s="311">
        <f t="shared" si="3"/>
        <v>26394986.260000013</v>
      </c>
      <c r="V30" s="311">
        <f t="shared" si="3"/>
        <v>27510479.360000014</v>
      </c>
      <c r="W30" s="311">
        <f t="shared" si="3"/>
        <v>28625972.460000016</v>
      </c>
    </row>
    <row r="31" spans="1:23" s="216" customFormat="1" ht="12.75">
      <c r="B31" s="314" t="s">
        <v>377</v>
      </c>
      <c r="C31" s="315"/>
      <c r="D31" s="315">
        <f>+D29-D30</f>
        <v>7321891.3480000002</v>
      </c>
      <c r="E31" s="315">
        <f t="shared" ref="E31:W31" si="4">+E29-E30</f>
        <v>26085636.036000002</v>
      </c>
      <c r="F31" s="315">
        <f t="shared" si="4"/>
        <v>23577894.924000002</v>
      </c>
      <c r="G31" s="315">
        <f t="shared" si="4"/>
        <v>21063821.012000002</v>
      </c>
      <c r="H31" s="315">
        <f t="shared" si="4"/>
        <v>18518083.100000001</v>
      </c>
      <c r="I31" s="315">
        <f t="shared" si="4"/>
        <v>16471015.400000002</v>
      </c>
      <c r="J31" s="315">
        <f t="shared" si="4"/>
        <v>15342856.700000003</v>
      </c>
      <c r="K31" s="315">
        <f t="shared" si="4"/>
        <v>14221030.800000003</v>
      </c>
      <c r="L31" s="315">
        <f t="shared" si="4"/>
        <v>13105537.700000003</v>
      </c>
      <c r="M31" s="315">
        <f t="shared" si="4"/>
        <v>11990044.600000001</v>
      </c>
      <c r="N31" s="315">
        <f t="shared" si="4"/>
        <v>10874551.5</v>
      </c>
      <c r="O31" s="315">
        <f t="shared" si="4"/>
        <v>9759058.3999999985</v>
      </c>
      <c r="P31" s="315">
        <f t="shared" si="4"/>
        <v>8643565.299999997</v>
      </c>
      <c r="Q31" s="315">
        <f t="shared" si="4"/>
        <v>7528072.1999999955</v>
      </c>
      <c r="R31" s="315">
        <f t="shared" si="4"/>
        <v>6412579.099999994</v>
      </c>
      <c r="S31" s="315">
        <f t="shared" si="4"/>
        <v>5297085.9999999925</v>
      </c>
      <c r="T31" s="315">
        <f t="shared" si="4"/>
        <v>4181592.8999999911</v>
      </c>
      <c r="U31" s="315">
        <f t="shared" si="4"/>
        <v>3066099.7999999896</v>
      </c>
      <c r="V31" s="315">
        <f t="shared" si="4"/>
        <v>1950606.6999999881</v>
      </c>
      <c r="W31" s="315">
        <f t="shared" si="4"/>
        <v>835113.59999998659</v>
      </c>
    </row>
    <row r="32" spans="1:23" ht="15.75">
      <c r="A32" s="316"/>
      <c r="B32" s="316"/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6"/>
      <c r="N32" s="316"/>
      <c r="O32" s="316"/>
      <c r="P32" s="316"/>
      <c r="Q32" s="316"/>
      <c r="R32" s="316"/>
      <c r="S32" s="316"/>
      <c r="T32" s="316"/>
      <c r="U32" s="316"/>
      <c r="V32" s="316"/>
      <c r="W32" s="316"/>
    </row>
  </sheetData>
  <mergeCells count="2">
    <mergeCell ref="D4:M4"/>
    <mergeCell ref="N4:W4"/>
  </mergeCells>
  <phoneticPr fontId="3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W175"/>
  <sheetViews>
    <sheetView topLeftCell="C24" workbookViewId="0">
      <selection activeCell="G54" sqref="G54"/>
    </sheetView>
  </sheetViews>
  <sheetFormatPr defaultColWidth="8.85546875" defaultRowHeight="15"/>
  <cols>
    <col min="1" max="1" width="8.85546875" style="5"/>
    <col min="2" max="3" width="1.42578125" customWidth="1"/>
    <col min="4" max="4" width="39.140625" customWidth="1"/>
    <col min="5" max="14" width="20.7109375" customWidth="1"/>
    <col min="15" max="16" width="11.42578125" bestFit="1" customWidth="1"/>
    <col min="17" max="17" width="10.42578125" customWidth="1"/>
    <col min="18" max="18" width="17.42578125" customWidth="1"/>
  </cols>
  <sheetData>
    <row r="1" spans="2:23" ht="15" customHeight="1">
      <c r="B1" s="633" t="s">
        <v>76</v>
      </c>
      <c r="C1" s="634"/>
      <c r="D1" s="635"/>
      <c r="E1" s="6"/>
      <c r="F1" s="643"/>
      <c r="G1" s="643"/>
      <c r="H1" s="643"/>
      <c r="I1" s="643"/>
      <c r="J1" s="534"/>
      <c r="K1" s="534"/>
      <c r="L1" s="534"/>
      <c r="M1" s="534"/>
      <c r="N1" s="534"/>
      <c r="O1" s="5"/>
      <c r="P1" s="5"/>
      <c r="Q1" s="5"/>
      <c r="R1" s="5"/>
      <c r="S1" s="5"/>
      <c r="T1" s="5"/>
      <c r="U1" s="5"/>
      <c r="V1" s="5"/>
      <c r="W1" s="5"/>
    </row>
    <row r="2" spans="2:23">
      <c r="B2" s="636"/>
      <c r="C2" s="637"/>
      <c r="D2" s="638"/>
      <c r="E2" s="6"/>
      <c r="F2" s="643"/>
      <c r="G2" s="643"/>
      <c r="H2" s="643"/>
      <c r="I2" s="643"/>
      <c r="J2" s="534"/>
      <c r="K2" s="534"/>
      <c r="L2" s="534"/>
      <c r="M2" s="534"/>
      <c r="N2" s="534"/>
      <c r="O2" s="5"/>
      <c r="P2" s="5"/>
      <c r="Q2" s="5"/>
      <c r="R2" s="5"/>
      <c r="S2" s="5"/>
      <c r="T2" s="5"/>
      <c r="U2" s="5"/>
      <c r="V2" s="5"/>
      <c r="W2" s="5"/>
    </row>
    <row r="3" spans="2:23" ht="15.75" thickBot="1">
      <c r="B3" s="639"/>
      <c r="C3" s="640"/>
      <c r="D3" s="641"/>
      <c r="E3" s="6"/>
      <c r="F3" s="643"/>
      <c r="G3" s="643"/>
      <c r="H3" s="643"/>
      <c r="I3" s="643"/>
      <c r="J3" s="534"/>
      <c r="K3" s="534"/>
      <c r="L3" s="534"/>
      <c r="M3" s="534"/>
      <c r="N3" s="534"/>
      <c r="O3" s="5"/>
      <c r="P3" s="5"/>
      <c r="Q3" s="5"/>
      <c r="R3" s="5"/>
      <c r="S3" s="5"/>
      <c r="T3" s="5"/>
      <c r="U3" s="5"/>
      <c r="V3" s="5"/>
      <c r="W3" s="5"/>
    </row>
    <row r="4" spans="2:23" ht="15.75" thickBot="1">
      <c r="B4" s="5"/>
      <c r="C4" s="5"/>
      <c r="D4" s="7"/>
      <c r="E4" s="6"/>
      <c r="F4" s="644" t="s">
        <v>77</v>
      </c>
      <c r="G4" s="644"/>
      <c r="H4" s="644"/>
      <c r="I4" s="644"/>
      <c r="J4" s="535"/>
      <c r="K4" s="535"/>
      <c r="L4" s="535"/>
      <c r="M4" s="535"/>
      <c r="N4" s="535"/>
      <c r="O4" s="5"/>
      <c r="P4" s="5"/>
      <c r="Q4" s="5"/>
      <c r="R4" s="5"/>
      <c r="S4" s="5"/>
      <c r="T4" s="5"/>
      <c r="U4" s="5"/>
      <c r="V4" s="5"/>
      <c r="W4" s="5"/>
    </row>
    <row r="5" spans="2:23" ht="15.75" thickBot="1">
      <c r="B5" s="5"/>
      <c r="C5" s="5"/>
      <c r="D5" s="7"/>
      <c r="E5" s="645" t="s">
        <v>39</v>
      </c>
      <c r="F5" s="646"/>
      <c r="G5" s="646"/>
      <c r="H5" s="646"/>
      <c r="I5" s="647"/>
      <c r="J5" s="645" t="s">
        <v>39</v>
      </c>
      <c r="K5" s="646"/>
      <c r="L5" s="646"/>
      <c r="M5" s="646"/>
      <c r="N5" s="647"/>
      <c r="O5" s="5"/>
      <c r="P5" s="5"/>
      <c r="Q5" s="5"/>
      <c r="R5" s="5"/>
      <c r="S5" s="5"/>
      <c r="T5" s="5"/>
      <c r="U5" s="5"/>
      <c r="V5" s="5"/>
      <c r="W5" s="5"/>
    </row>
    <row r="6" spans="2:23" ht="15.75" thickBot="1">
      <c r="B6" s="5"/>
      <c r="C6" s="5"/>
      <c r="D6" s="5"/>
      <c r="E6" s="1" t="s">
        <v>78</v>
      </c>
      <c r="F6" s="2" t="s">
        <v>79</v>
      </c>
      <c r="G6" s="3" t="s">
        <v>80</v>
      </c>
      <c r="H6" s="3" t="s">
        <v>81</v>
      </c>
      <c r="I6" s="4" t="s">
        <v>82</v>
      </c>
      <c r="J6" s="4" t="s">
        <v>580</v>
      </c>
      <c r="K6" s="4" t="s">
        <v>581</v>
      </c>
      <c r="L6" s="4" t="s">
        <v>582</v>
      </c>
      <c r="M6" s="4" t="s">
        <v>583</v>
      </c>
      <c r="N6" s="4" t="s">
        <v>584</v>
      </c>
      <c r="O6" s="5"/>
      <c r="P6" s="5"/>
      <c r="Q6" s="5"/>
      <c r="R6" s="5"/>
      <c r="S6" s="5"/>
      <c r="T6" s="5"/>
      <c r="U6" s="5"/>
      <c r="V6" s="5"/>
      <c r="W6" s="5"/>
    </row>
    <row r="7" spans="2:23">
      <c r="B7" s="87"/>
      <c r="C7" s="88"/>
      <c r="D7" s="160"/>
      <c r="E7" s="85"/>
      <c r="F7" s="85"/>
      <c r="G7" s="85"/>
      <c r="H7" s="85"/>
      <c r="I7" s="85"/>
      <c r="J7" s="85"/>
      <c r="K7" s="85"/>
      <c r="L7" s="85"/>
      <c r="M7" s="85"/>
      <c r="N7" s="85"/>
      <c r="O7" s="5"/>
      <c r="P7" s="5"/>
      <c r="Q7" s="5"/>
      <c r="R7" s="5"/>
      <c r="S7" s="5"/>
      <c r="T7" s="5"/>
      <c r="U7" s="5"/>
      <c r="V7" s="5"/>
      <c r="W7" s="5"/>
    </row>
    <row r="8" spans="2:23">
      <c r="B8" s="121"/>
      <c r="C8" s="8"/>
      <c r="D8" s="122" t="s">
        <v>83</v>
      </c>
      <c r="E8" s="86">
        <f>+'Sources and Uses'!B8</f>
        <v>0</v>
      </c>
      <c r="F8" s="86">
        <f>+E51</f>
        <v>2625893.9399999995</v>
      </c>
      <c r="G8" s="86">
        <f t="shared" ref="G8:I8" si="0">+F51</f>
        <v>340149.93999999948</v>
      </c>
      <c r="H8" s="86">
        <f t="shared" si="0"/>
        <v>726485.93999999948</v>
      </c>
      <c r="I8" s="86">
        <f t="shared" si="0"/>
        <v>1234821.9399999995</v>
      </c>
      <c r="J8" s="86">
        <f t="shared" ref="J8" si="1">+I51</f>
        <v>1804721.9399999995</v>
      </c>
      <c r="K8" s="86">
        <f t="shared" ref="K8" si="2">+J51</f>
        <v>1959004.9399999995</v>
      </c>
      <c r="L8" s="86">
        <f t="shared" ref="L8" si="3">+K51</f>
        <v>2111886.9399999995</v>
      </c>
      <c r="M8" s="86">
        <f t="shared" ref="M8" si="4">+L51</f>
        <v>2263167.9399999995</v>
      </c>
      <c r="N8" s="86">
        <f t="shared" ref="N8" si="5">+M51</f>
        <v>2412647.9399999995</v>
      </c>
      <c r="O8" s="5"/>
      <c r="P8" s="5"/>
      <c r="Q8" s="5"/>
      <c r="R8" s="5"/>
      <c r="S8" s="5"/>
      <c r="T8" s="5"/>
      <c r="U8" s="5"/>
      <c r="V8" s="5"/>
      <c r="W8" s="5"/>
    </row>
    <row r="9" spans="2:23">
      <c r="B9" s="87"/>
      <c r="C9" s="88"/>
      <c r="D9" s="88"/>
      <c r="E9" s="89"/>
      <c r="F9" s="89"/>
      <c r="G9" s="89"/>
      <c r="H9" s="89"/>
      <c r="I9" s="89"/>
      <c r="J9" s="89"/>
      <c r="K9" s="89"/>
      <c r="L9" s="89"/>
      <c r="M9" s="89"/>
      <c r="N9" s="89"/>
      <c r="O9" s="5"/>
      <c r="P9" s="5"/>
      <c r="Q9" s="5"/>
      <c r="R9" s="5"/>
      <c r="S9" s="5"/>
      <c r="T9" s="5"/>
      <c r="U9" s="5"/>
      <c r="V9" s="5"/>
      <c r="W9" s="5"/>
    </row>
    <row r="10" spans="2:23">
      <c r="B10" s="625" t="s">
        <v>0</v>
      </c>
      <c r="C10" s="626"/>
      <c r="D10" s="626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5"/>
      <c r="P10" s="5"/>
      <c r="Q10" s="5"/>
      <c r="R10" s="5"/>
      <c r="S10" s="5"/>
      <c r="T10" s="5"/>
      <c r="U10" s="5"/>
      <c r="V10" s="5"/>
      <c r="W10" s="5"/>
    </row>
    <row r="11" spans="2:23">
      <c r="B11" s="91"/>
      <c r="C11" s="92" t="s">
        <v>1</v>
      </c>
      <c r="D11" s="10"/>
      <c r="E11" s="93">
        <f>+'Income Statement'!C58</f>
        <v>9947785.2880000006</v>
      </c>
      <c r="F11" s="93">
        <f>+'Income Statement'!D58</f>
        <v>16478000.688000001</v>
      </c>
      <c r="G11" s="93">
        <f>+'Income Statement'!E58</f>
        <v>-2121405.1119999997</v>
      </c>
      <c r="H11" s="93">
        <f>+'Income Statement'!F58</f>
        <v>-2005737.9119999995</v>
      </c>
      <c r="I11" s="93">
        <f>+'Income Statement'!G58</f>
        <v>-1975837.9119999995</v>
      </c>
      <c r="J11" s="93">
        <f>+'Income Statement'!H58</f>
        <v>-1884867.7000000002</v>
      </c>
      <c r="K11" s="93">
        <f>+'Income Statement'!I58</f>
        <v>-967358.70000000019</v>
      </c>
      <c r="L11" s="93">
        <f>+'Income Statement'!J58</f>
        <v>-962625.90000000014</v>
      </c>
      <c r="M11" s="93">
        <f>+'Income Statement'!K58</f>
        <v>-958093.10000000009</v>
      </c>
      <c r="N11" s="93">
        <f>+'Income Statement'!L58</f>
        <v>-960193.10000000009</v>
      </c>
      <c r="O11" s="5"/>
      <c r="P11" s="5"/>
      <c r="Q11" s="5"/>
      <c r="R11" s="5"/>
      <c r="S11" s="5"/>
      <c r="T11" s="5"/>
      <c r="U11" s="5"/>
      <c r="V11" s="5"/>
      <c r="W11" s="5"/>
    </row>
    <row r="12" spans="2:23" ht="15" customHeight="1">
      <c r="B12" s="94"/>
      <c r="C12" s="627" t="s">
        <v>2</v>
      </c>
      <c r="D12" s="628"/>
      <c r="E12" s="95"/>
      <c r="F12" s="96"/>
      <c r="G12" s="95"/>
      <c r="H12" s="96"/>
      <c r="I12" s="95"/>
      <c r="J12" s="95"/>
      <c r="K12" s="95"/>
      <c r="L12" s="95"/>
      <c r="M12" s="95"/>
      <c r="N12" s="95"/>
      <c r="O12" s="5"/>
      <c r="P12" s="5"/>
      <c r="Q12" s="5"/>
      <c r="R12" s="5"/>
      <c r="S12" s="5"/>
      <c r="T12" s="5"/>
      <c r="U12" s="5"/>
      <c r="V12" s="5"/>
      <c r="W12" s="5"/>
    </row>
    <row r="13" spans="2:23">
      <c r="B13" s="97"/>
      <c r="C13" s="629"/>
      <c r="D13" s="630"/>
      <c r="E13" s="93"/>
      <c r="F13" s="98"/>
      <c r="G13" s="93"/>
      <c r="H13" s="98"/>
      <c r="I13" s="93"/>
      <c r="J13" s="93"/>
      <c r="K13" s="93"/>
      <c r="L13" s="93"/>
      <c r="M13" s="93"/>
      <c r="N13" s="93"/>
      <c r="O13" s="5"/>
      <c r="P13" s="5"/>
      <c r="Q13" s="5"/>
      <c r="R13" s="5"/>
      <c r="S13" s="5"/>
      <c r="T13" s="5"/>
      <c r="U13" s="5"/>
      <c r="V13" s="5"/>
      <c r="W13" s="5"/>
    </row>
    <row r="14" spans="2:23">
      <c r="B14" s="97"/>
      <c r="C14" s="99"/>
      <c r="D14" s="99" t="s">
        <v>3</v>
      </c>
      <c r="E14" s="93">
        <f>+'Income Statement'!C44</f>
        <v>779049.71200000006</v>
      </c>
      <c r="F14" s="93">
        <f>+'Income Statement'!D44</f>
        <v>2533072.3119999999</v>
      </c>
      <c r="G14" s="93">
        <f>+'Income Statement'!E44</f>
        <v>2539405.1119999997</v>
      </c>
      <c r="H14" s="93">
        <f>+'Income Statement'!F44</f>
        <v>2545737.9119999995</v>
      </c>
      <c r="I14" s="93">
        <f>+'Income Statement'!G44</f>
        <v>2545737.9119999995</v>
      </c>
      <c r="J14" s="93">
        <f>+'Income Statement'!H44</f>
        <v>2047067.7000000002</v>
      </c>
      <c r="K14" s="93">
        <f>+'Income Statement'!I44</f>
        <v>1128158.7000000002</v>
      </c>
      <c r="L14" s="93">
        <f>+'Income Statement'!J44</f>
        <v>1121825.9000000001</v>
      </c>
      <c r="M14" s="93">
        <f>+'Income Statement'!K44</f>
        <v>1115493.1000000001</v>
      </c>
      <c r="N14" s="93">
        <f>+'Income Statement'!L44</f>
        <v>1115493.1000000001</v>
      </c>
      <c r="O14" s="5"/>
      <c r="P14" s="5"/>
      <c r="Q14" s="5"/>
      <c r="R14" s="5"/>
      <c r="S14" s="5"/>
      <c r="T14" s="5"/>
      <c r="U14" s="5"/>
      <c r="V14" s="5"/>
      <c r="W14" s="5"/>
    </row>
    <row r="15" spans="2:23">
      <c r="B15" s="97"/>
      <c r="C15" s="99"/>
      <c r="D15" s="100" t="s">
        <v>4</v>
      </c>
      <c r="E15" s="93">
        <f>+'Income Statement'!C45</f>
        <v>0</v>
      </c>
      <c r="F15" s="93">
        <f>+'Income Statement'!D45</f>
        <v>0</v>
      </c>
      <c r="G15" s="93">
        <f>+'Income Statement'!E45</f>
        <v>0</v>
      </c>
      <c r="H15" s="93">
        <f>+'Income Statement'!F45</f>
        <v>0</v>
      </c>
      <c r="I15" s="93">
        <f>+'Income Statement'!G45</f>
        <v>0</v>
      </c>
      <c r="J15" s="93">
        <f>+'Income Statement'!H45</f>
        <v>0</v>
      </c>
      <c r="K15" s="93">
        <f>+'Income Statement'!I45</f>
        <v>0</v>
      </c>
      <c r="L15" s="93">
        <f>+'Income Statement'!J45</f>
        <v>0</v>
      </c>
      <c r="M15" s="93">
        <f>+'Income Statement'!K45</f>
        <v>0</v>
      </c>
      <c r="N15" s="93">
        <f>+'Income Statement'!L45</f>
        <v>0</v>
      </c>
      <c r="O15" s="5"/>
      <c r="P15" s="5"/>
      <c r="Q15" s="5"/>
      <c r="R15" s="5"/>
      <c r="S15" s="5"/>
      <c r="T15" s="5"/>
      <c r="U15" s="5"/>
      <c r="V15" s="5"/>
      <c r="W15" s="5"/>
    </row>
    <row r="16" spans="2:23">
      <c r="B16" s="101"/>
      <c r="C16" s="102" t="s">
        <v>5</v>
      </c>
      <c r="D16" s="10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5"/>
      <c r="P16" s="5"/>
      <c r="Q16" s="5"/>
      <c r="R16" s="5"/>
      <c r="S16" s="5"/>
      <c r="T16" s="5"/>
      <c r="U16" s="5"/>
      <c r="V16" s="5"/>
      <c r="W16" s="5"/>
    </row>
    <row r="17" spans="2:23">
      <c r="B17" s="97"/>
      <c r="C17" s="99"/>
      <c r="D17" s="100" t="s">
        <v>6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  <c r="L17" s="93">
        <v>0</v>
      </c>
      <c r="M17" s="93">
        <v>0</v>
      </c>
      <c r="N17" s="93">
        <v>0</v>
      </c>
      <c r="O17" s="5"/>
      <c r="P17" s="5"/>
      <c r="Q17" s="5"/>
      <c r="R17" s="5"/>
      <c r="S17" s="5"/>
      <c r="T17" s="5"/>
      <c r="U17" s="5"/>
      <c r="V17" s="5"/>
      <c r="W17" s="5"/>
    </row>
    <row r="18" spans="2:23">
      <c r="B18" s="97"/>
      <c r="C18" s="99"/>
      <c r="D18" s="100" t="s">
        <v>91</v>
      </c>
      <c r="E18" s="93">
        <v>0</v>
      </c>
      <c r="F18" s="93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93">
        <v>0</v>
      </c>
      <c r="M18" s="93">
        <v>0</v>
      </c>
      <c r="N18" s="93">
        <v>0</v>
      </c>
      <c r="O18" s="5"/>
      <c r="P18" s="5"/>
      <c r="Q18" s="5"/>
      <c r="R18" s="5"/>
      <c r="S18" s="5"/>
      <c r="T18" s="5"/>
      <c r="U18" s="5"/>
      <c r="V18" s="5"/>
      <c r="W18" s="5"/>
    </row>
    <row r="19" spans="2:23">
      <c r="B19" s="97"/>
      <c r="C19" s="99"/>
      <c r="D19" s="100" t="s">
        <v>92</v>
      </c>
      <c r="E19" s="93">
        <v>0</v>
      </c>
      <c r="F19" s="93">
        <v>0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3">
        <v>0</v>
      </c>
      <c r="O19" s="5"/>
      <c r="P19" s="5"/>
      <c r="Q19" s="5"/>
      <c r="R19" s="5"/>
      <c r="S19" s="5"/>
      <c r="T19" s="5"/>
      <c r="U19" s="5"/>
      <c r="V19" s="5"/>
      <c r="W19" s="5"/>
    </row>
    <row r="20" spans="2:23">
      <c r="B20" s="97"/>
      <c r="C20" s="99"/>
      <c r="D20" s="100" t="s">
        <v>93</v>
      </c>
      <c r="E20" s="93">
        <v>0</v>
      </c>
      <c r="F20" s="93">
        <v>0</v>
      </c>
      <c r="G20" s="93">
        <v>0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5"/>
      <c r="P20" s="5"/>
      <c r="Q20" s="5"/>
      <c r="R20" s="5"/>
      <c r="S20" s="5"/>
      <c r="T20" s="5"/>
      <c r="U20" s="5"/>
      <c r="V20" s="5"/>
      <c r="W20" s="5"/>
    </row>
    <row r="21" spans="2:23">
      <c r="B21" s="97"/>
      <c r="C21" s="99"/>
      <c r="D21" s="100" t="s">
        <v>7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5"/>
      <c r="P21" s="5"/>
      <c r="Q21" s="5"/>
      <c r="R21" s="5"/>
      <c r="S21" s="5"/>
      <c r="T21" s="5"/>
      <c r="U21" s="5"/>
      <c r="V21" s="5"/>
      <c r="W21" s="5"/>
    </row>
    <row r="22" spans="2:23">
      <c r="B22" s="97"/>
      <c r="C22" s="99"/>
      <c r="D22" s="100" t="s">
        <v>97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5"/>
      <c r="P22" s="5"/>
      <c r="Q22" s="5"/>
      <c r="R22" s="5"/>
      <c r="S22" s="5"/>
      <c r="T22" s="5"/>
      <c r="U22" s="5"/>
      <c r="V22" s="5"/>
      <c r="W22" s="5"/>
    </row>
    <row r="23" spans="2:23">
      <c r="B23" s="103"/>
      <c r="C23" s="100"/>
      <c r="D23" s="100" t="s">
        <v>98</v>
      </c>
      <c r="E23" s="93">
        <v>0</v>
      </c>
      <c r="F23" s="93">
        <v>0</v>
      </c>
      <c r="G23" s="93">
        <v>0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3">
        <v>0</v>
      </c>
      <c r="O23" s="5"/>
      <c r="P23" s="5"/>
      <c r="Q23" s="5"/>
      <c r="R23" s="5"/>
      <c r="S23" s="5"/>
      <c r="T23" s="5"/>
      <c r="U23" s="5"/>
      <c r="V23" s="5"/>
      <c r="W23" s="5"/>
    </row>
    <row r="24" spans="2:23">
      <c r="B24" s="97"/>
      <c r="C24" s="99"/>
      <c r="D24" s="462" t="s">
        <v>347</v>
      </c>
      <c r="E24" s="93">
        <f>-'Income Statement'!C19-'Income Statement'!C20</f>
        <v>-10731835</v>
      </c>
      <c r="F24" s="93">
        <f>-'Income Statement'!D19-'Income Statement'!D20</f>
        <v>-18614273</v>
      </c>
      <c r="G24" s="93">
        <f>-'Income Statement'!E19-'Income Statement'!E20</f>
        <v>0</v>
      </c>
      <c r="H24" s="93">
        <f>-'Income Statement'!F19-'Income Statement'!F20</f>
        <v>0</v>
      </c>
      <c r="I24" s="93">
        <f>-'Income Statement'!G19-'Income Statement'!G20</f>
        <v>0</v>
      </c>
      <c r="J24" s="93">
        <f>-'Income Statement'!H19-'Income Statement'!H20</f>
        <v>0</v>
      </c>
      <c r="K24" s="93">
        <f>-'Income Statement'!I19-'Income Statement'!I20</f>
        <v>0</v>
      </c>
      <c r="L24" s="93">
        <f>-'Income Statement'!J19-'Income Statement'!J20</f>
        <v>0</v>
      </c>
      <c r="M24" s="93">
        <f>-'Income Statement'!K19-'Income Statement'!K20</f>
        <v>0</v>
      </c>
      <c r="N24" s="93">
        <f>-'Income Statement'!L19-'Income Statement'!L20</f>
        <v>0</v>
      </c>
      <c r="O24" s="5"/>
      <c r="P24" s="5"/>
      <c r="Q24" s="5"/>
      <c r="R24" s="5"/>
      <c r="S24" s="5"/>
      <c r="T24" s="5"/>
      <c r="U24" s="5"/>
      <c r="V24" s="5"/>
      <c r="W24" s="5"/>
    </row>
    <row r="25" spans="2:23">
      <c r="B25" s="94"/>
      <c r="C25" s="10"/>
      <c r="D25" s="8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5"/>
      <c r="P25" s="5"/>
      <c r="Q25" s="5"/>
      <c r="R25" s="5"/>
      <c r="S25" s="5"/>
      <c r="T25" s="5"/>
      <c r="U25" s="5"/>
      <c r="V25" s="5"/>
      <c r="W25" s="5"/>
    </row>
    <row r="26" spans="2:23">
      <c r="B26" s="105"/>
      <c r="C26" s="106"/>
      <c r="D26" s="107" t="s">
        <v>94</v>
      </c>
      <c r="E26" s="86">
        <f>SUM(E10:E25)</f>
        <v>-5000</v>
      </c>
      <c r="F26" s="86">
        <f t="shared" ref="F26:I26" si="6">SUM(F10:F25)</f>
        <v>396800</v>
      </c>
      <c r="G26" s="86">
        <f t="shared" si="6"/>
        <v>418000</v>
      </c>
      <c r="H26" s="86">
        <f t="shared" si="6"/>
        <v>540000</v>
      </c>
      <c r="I26" s="86">
        <f t="shared" si="6"/>
        <v>569900</v>
      </c>
      <c r="J26" s="86">
        <f t="shared" ref="J26:N26" si="7">SUM(J10:J25)</f>
        <v>162200</v>
      </c>
      <c r="K26" s="86">
        <f t="shared" si="7"/>
        <v>160800</v>
      </c>
      <c r="L26" s="86">
        <f t="shared" si="7"/>
        <v>159200</v>
      </c>
      <c r="M26" s="86">
        <f t="shared" si="7"/>
        <v>157400</v>
      </c>
      <c r="N26" s="86">
        <f t="shared" si="7"/>
        <v>155300</v>
      </c>
      <c r="O26" s="5"/>
      <c r="P26" s="5"/>
      <c r="Q26" s="5"/>
      <c r="R26" s="5"/>
      <c r="S26" s="5"/>
      <c r="T26" s="5"/>
      <c r="U26" s="5"/>
      <c r="V26" s="5"/>
      <c r="W26" s="5"/>
    </row>
    <row r="27" spans="2:23">
      <c r="B27" s="94"/>
      <c r="C27" s="10"/>
      <c r="D27" s="108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5"/>
      <c r="P27" s="5"/>
      <c r="Q27" s="5"/>
      <c r="R27" s="5"/>
      <c r="S27" s="5"/>
      <c r="T27" s="5"/>
      <c r="U27" s="5"/>
      <c r="V27" s="5"/>
      <c r="W27" s="5"/>
    </row>
    <row r="28" spans="2:23">
      <c r="B28" s="631" t="s">
        <v>99</v>
      </c>
      <c r="C28" s="632"/>
      <c r="D28" s="632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5"/>
      <c r="P28" s="5"/>
      <c r="Q28" s="5"/>
      <c r="R28" s="5"/>
      <c r="S28" s="5"/>
      <c r="T28" s="5"/>
      <c r="U28" s="5"/>
      <c r="V28" s="5"/>
      <c r="W28" s="5"/>
    </row>
    <row r="29" spans="2:23">
      <c r="B29" s="378"/>
      <c r="C29" s="92" t="s">
        <v>100</v>
      </c>
      <c r="D29" s="125"/>
      <c r="E29" s="112">
        <f>+'Capital Additions'!B37</f>
        <v>8100941.0600000005</v>
      </c>
      <c r="F29" s="112">
        <f>+'Capital Additions'!C37-Q29</f>
        <v>21245166.939999998</v>
      </c>
      <c r="G29" s="112">
        <v>0</v>
      </c>
      <c r="H29" s="112">
        <v>0</v>
      </c>
      <c r="I29" s="112">
        <v>0</v>
      </c>
      <c r="J29" s="112">
        <v>1</v>
      </c>
      <c r="K29" s="112">
        <v>2</v>
      </c>
      <c r="L29" s="112">
        <v>3</v>
      </c>
      <c r="M29" s="112">
        <v>4</v>
      </c>
      <c r="N29" s="112">
        <v>5</v>
      </c>
      <c r="O29" s="463">
        <f>+'Capital Additions'!B37+'Capital Additions'!C37</f>
        <v>29397758.060000002</v>
      </c>
      <c r="P29" s="463">
        <f>+'Sources and Uses'!M20</f>
        <v>29346108</v>
      </c>
      <c r="Q29" s="463">
        <f>+O29-P29</f>
        <v>51650.060000002384</v>
      </c>
      <c r="R29" s="642" t="s">
        <v>348</v>
      </c>
      <c r="S29" s="642"/>
      <c r="T29" s="642"/>
      <c r="U29" s="5"/>
      <c r="V29" s="5"/>
      <c r="W29" s="5"/>
    </row>
    <row r="30" spans="2:23">
      <c r="B30" s="378"/>
      <c r="C30" s="92" t="s">
        <v>101</v>
      </c>
      <c r="D30" s="125"/>
      <c r="E30" s="112">
        <v>0</v>
      </c>
      <c r="F30" s="112">
        <f>+Q29</f>
        <v>51650.060000002384</v>
      </c>
      <c r="G30" s="112">
        <f>+'Capital Additions'!D37</f>
        <v>31664</v>
      </c>
      <c r="H30" s="112">
        <f>+'Capital Additions'!E37</f>
        <v>31664</v>
      </c>
      <c r="I30" s="112">
        <f>+'Capital Additions'!F37</f>
        <v>0</v>
      </c>
      <c r="J30" s="112">
        <f>+'Capital Additions'!G37</f>
        <v>7916</v>
      </c>
      <c r="K30" s="112">
        <f>+'Capital Additions'!H37</f>
        <v>7916</v>
      </c>
      <c r="L30" s="112">
        <f>+'Capital Additions'!I37</f>
        <v>7916</v>
      </c>
      <c r="M30" s="112">
        <f>+'Capital Additions'!J37</f>
        <v>7916</v>
      </c>
      <c r="N30" s="112">
        <f>+'Capital Additions'!K37</f>
        <v>7916</v>
      </c>
      <c r="O30" s="463"/>
      <c r="P30" s="463">
        <f>SUM(E29:I29)</f>
        <v>29346108</v>
      </c>
      <c r="Q30" s="464"/>
      <c r="R30" s="642"/>
      <c r="S30" s="642"/>
      <c r="T30" s="642"/>
      <c r="U30" s="5"/>
      <c r="V30" s="5"/>
      <c r="W30" s="5"/>
    </row>
    <row r="31" spans="2:23">
      <c r="B31" s="97"/>
      <c r="C31" s="100" t="s">
        <v>102</v>
      </c>
      <c r="D31" s="111"/>
      <c r="E31" s="112">
        <v>0</v>
      </c>
      <c r="F31" s="112">
        <v>0</v>
      </c>
      <c r="G31" s="112">
        <v>0</v>
      </c>
      <c r="H31" s="112">
        <v>0</v>
      </c>
      <c r="I31" s="112">
        <v>0</v>
      </c>
      <c r="J31" s="112">
        <v>0</v>
      </c>
      <c r="K31" s="112">
        <v>0</v>
      </c>
      <c r="L31" s="112">
        <v>0</v>
      </c>
      <c r="M31" s="112">
        <v>0</v>
      </c>
      <c r="N31" s="112">
        <v>0</v>
      </c>
      <c r="O31" s="5"/>
      <c r="P31" s="5"/>
      <c r="Q31" s="5"/>
      <c r="R31" s="5"/>
      <c r="S31" s="5"/>
      <c r="T31" s="5"/>
      <c r="U31" s="5"/>
      <c r="V31" s="5"/>
      <c r="W31" s="5"/>
    </row>
    <row r="32" spans="2:23">
      <c r="B32" s="97"/>
      <c r="C32" s="113" t="s">
        <v>103</v>
      </c>
      <c r="D32" s="100"/>
      <c r="E32" s="112">
        <v>0</v>
      </c>
      <c r="F32" s="112">
        <v>0</v>
      </c>
      <c r="G32" s="112">
        <v>0</v>
      </c>
      <c r="H32" s="112">
        <v>0</v>
      </c>
      <c r="I32" s="112">
        <v>0</v>
      </c>
      <c r="J32" s="112">
        <v>0</v>
      </c>
      <c r="K32" s="112">
        <v>0</v>
      </c>
      <c r="L32" s="112">
        <v>0</v>
      </c>
      <c r="M32" s="112">
        <v>0</v>
      </c>
      <c r="N32" s="112">
        <v>0</v>
      </c>
      <c r="O32" s="5"/>
      <c r="P32" s="5"/>
      <c r="Q32" s="5"/>
      <c r="R32" s="5"/>
      <c r="S32" s="5"/>
      <c r="T32" s="5"/>
      <c r="U32" s="5"/>
      <c r="V32" s="5"/>
      <c r="W32" s="5"/>
    </row>
    <row r="33" spans="2:23">
      <c r="B33" s="114"/>
      <c r="C33" s="8"/>
      <c r="D33" s="10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5"/>
      <c r="P33" s="5"/>
      <c r="Q33" s="5"/>
      <c r="R33" s="5"/>
      <c r="S33" s="5"/>
      <c r="T33" s="5"/>
      <c r="U33" s="5"/>
      <c r="V33" s="5"/>
      <c r="W33" s="5"/>
    </row>
    <row r="34" spans="2:23">
      <c r="B34" s="105"/>
      <c r="C34" s="106"/>
      <c r="D34" s="107" t="s">
        <v>104</v>
      </c>
      <c r="E34" s="86">
        <f>SUM(E29:E33)</f>
        <v>8100941.0600000005</v>
      </c>
      <c r="F34" s="86">
        <f t="shared" ref="F34:I34" si="8">SUM(F29:F33)</f>
        <v>21296817</v>
      </c>
      <c r="G34" s="86">
        <f t="shared" si="8"/>
        <v>31664</v>
      </c>
      <c r="H34" s="86">
        <f t="shared" si="8"/>
        <v>31664</v>
      </c>
      <c r="I34" s="86">
        <f t="shared" si="8"/>
        <v>0</v>
      </c>
      <c r="J34" s="86">
        <f t="shared" ref="J34:N34" si="9">SUM(J29:J33)</f>
        <v>7917</v>
      </c>
      <c r="K34" s="86">
        <f t="shared" si="9"/>
        <v>7918</v>
      </c>
      <c r="L34" s="86">
        <f t="shared" si="9"/>
        <v>7919</v>
      </c>
      <c r="M34" s="86">
        <f t="shared" si="9"/>
        <v>7920</v>
      </c>
      <c r="N34" s="86">
        <f t="shared" si="9"/>
        <v>7921</v>
      </c>
      <c r="O34" s="369"/>
      <c r="P34" s="5"/>
      <c r="Q34" s="5"/>
      <c r="R34" s="5"/>
      <c r="S34" s="5"/>
      <c r="T34" s="5"/>
      <c r="U34" s="5"/>
      <c r="V34" s="5"/>
      <c r="W34" s="5"/>
    </row>
    <row r="35" spans="2:23">
      <c r="B35" s="94"/>
      <c r="C35" s="10"/>
      <c r="D35" s="116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5"/>
      <c r="P35" s="5"/>
      <c r="Q35" s="5"/>
      <c r="R35" s="5"/>
      <c r="S35" s="5"/>
      <c r="T35" s="5"/>
      <c r="U35" s="5"/>
      <c r="V35" s="5"/>
      <c r="W35" s="5"/>
    </row>
    <row r="36" spans="2:23">
      <c r="B36" s="631" t="s">
        <v>105</v>
      </c>
      <c r="C36" s="632"/>
      <c r="D36" s="632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5"/>
      <c r="P36" s="5"/>
      <c r="Q36" s="5"/>
      <c r="R36" s="5"/>
      <c r="S36" s="5"/>
      <c r="T36" s="5"/>
      <c r="U36" s="5"/>
      <c r="V36" s="5"/>
      <c r="W36" s="5"/>
    </row>
    <row r="37" spans="2:23">
      <c r="B37" s="97"/>
      <c r="C37" s="99" t="s">
        <v>106</v>
      </c>
      <c r="D37" s="111"/>
      <c r="E37" s="112">
        <v>0</v>
      </c>
      <c r="F37" s="112">
        <v>0</v>
      </c>
      <c r="G37" s="112">
        <v>0</v>
      </c>
      <c r="H37" s="112">
        <v>0</v>
      </c>
      <c r="I37" s="112">
        <v>0</v>
      </c>
      <c r="J37" s="112">
        <v>0</v>
      </c>
      <c r="K37" s="112">
        <v>0</v>
      </c>
      <c r="L37" s="112">
        <v>0</v>
      </c>
      <c r="M37" s="112">
        <v>0</v>
      </c>
      <c r="N37" s="112">
        <v>0</v>
      </c>
      <c r="O37" s="5"/>
      <c r="P37" s="5"/>
      <c r="Q37" s="5"/>
      <c r="R37" s="5"/>
      <c r="S37" s="5"/>
      <c r="T37" s="5"/>
      <c r="U37" s="5"/>
      <c r="V37" s="5"/>
      <c r="W37" s="5"/>
    </row>
    <row r="38" spans="2:23">
      <c r="B38" s="103"/>
      <c r="C38" s="100" t="s">
        <v>107</v>
      </c>
      <c r="D38" s="113"/>
      <c r="E38" s="112">
        <v>0</v>
      </c>
      <c r="F38" s="112">
        <v>0</v>
      </c>
      <c r="G38" s="112">
        <v>0</v>
      </c>
      <c r="H38" s="112">
        <v>0</v>
      </c>
      <c r="I38" s="112">
        <v>0</v>
      </c>
      <c r="J38" s="112">
        <v>0</v>
      </c>
      <c r="K38" s="112">
        <v>0</v>
      </c>
      <c r="L38" s="112">
        <v>0</v>
      </c>
      <c r="M38" s="112">
        <v>0</v>
      </c>
      <c r="N38" s="112">
        <v>0</v>
      </c>
      <c r="O38" s="5"/>
      <c r="P38" s="5"/>
      <c r="Q38" s="5"/>
      <c r="R38" s="5"/>
      <c r="S38" s="5"/>
      <c r="T38" s="5"/>
      <c r="U38" s="5"/>
      <c r="V38" s="5"/>
      <c r="W38" s="5"/>
    </row>
    <row r="39" spans="2:23">
      <c r="B39" s="103"/>
      <c r="C39" s="100" t="s">
        <v>108</v>
      </c>
      <c r="D39" s="113"/>
      <c r="E39" s="112">
        <f>+'Loan Yr 3'!B35+'Loan Yr 4'!B35+'Loan Yr 5'!B35</f>
        <v>0</v>
      </c>
      <c r="F39" s="112">
        <f>+'Loan Yr 3'!C35+'Loan Yr 4'!C35+'Loan Yr 5'!C35</f>
        <v>0</v>
      </c>
      <c r="G39" s="603">
        <f>+'Loan Yr 3'!D35+'Loan Yr 4'!D35+'Loan Yr 5'!D35</f>
        <v>0</v>
      </c>
      <c r="H39" s="603">
        <f>+'Loan Yr 3'!E35+'Loan Yr 4'!E35+'Loan Yr 5'!E35</f>
        <v>0</v>
      </c>
      <c r="I39" s="603">
        <f>+'Loan Yr 3'!F35+'Loan Yr 4'!F35+'Loan Yr 5'!F35</f>
        <v>0</v>
      </c>
      <c r="J39" s="603">
        <f>+'Loan Yr 3'!G35+'Loan Yr 4'!G35+'Loan Yr 5'!G35</f>
        <v>0</v>
      </c>
      <c r="K39" s="603">
        <f>+'Loan Yr 3'!H35+'Loan Yr 4'!H35+'Loan Yr 5'!H35</f>
        <v>0</v>
      </c>
      <c r="L39" s="603">
        <f>+'Loan Yr 3'!I35+'Loan Yr 4'!I35+'Loan Yr 5'!I35</f>
        <v>0</v>
      </c>
      <c r="M39" s="112">
        <f>+'Loan Yr 3'!J35+'Loan Yr 4'!J35+'Loan Yr 5'!J35</f>
        <v>0</v>
      </c>
      <c r="N39" s="112">
        <f>+'Loan Yr 3'!K35+'Loan Yr 4'!K35+'Loan Yr 5'!K35</f>
        <v>0</v>
      </c>
      <c r="O39" s="5"/>
      <c r="P39" s="5"/>
      <c r="Q39" s="5"/>
      <c r="R39" s="5"/>
      <c r="S39" s="5"/>
      <c r="T39" s="5"/>
      <c r="U39" s="5"/>
      <c r="V39" s="5"/>
      <c r="W39" s="5"/>
    </row>
    <row r="40" spans="2:23">
      <c r="B40" s="211"/>
      <c r="C40" s="375" t="s">
        <v>109</v>
      </c>
      <c r="D40" s="214"/>
      <c r="E40" s="112">
        <f>+'Sources and Uses'!B21</f>
        <v>6209417</v>
      </c>
      <c r="F40" s="112">
        <f>+'Sources and Uses'!C21</f>
        <v>16284542</v>
      </c>
      <c r="G40" s="112">
        <f>+'Sources and Uses'!D21</f>
        <v>0</v>
      </c>
      <c r="H40" s="112">
        <v>0</v>
      </c>
      <c r="I40" s="112">
        <v>0</v>
      </c>
      <c r="J40" s="112">
        <v>0</v>
      </c>
      <c r="K40" s="112">
        <v>0</v>
      </c>
      <c r="L40" s="112">
        <v>0</v>
      </c>
      <c r="M40" s="112">
        <v>0</v>
      </c>
      <c r="N40" s="112">
        <v>0</v>
      </c>
      <c r="O40" s="369"/>
      <c r="P40" s="369"/>
      <c r="Q40" s="5"/>
      <c r="R40" s="5"/>
      <c r="S40" s="5"/>
      <c r="T40" s="5"/>
      <c r="U40" s="5"/>
      <c r="V40" s="5"/>
      <c r="W40" s="5"/>
    </row>
    <row r="41" spans="2:23">
      <c r="B41" s="211"/>
      <c r="C41" s="375" t="s">
        <v>110</v>
      </c>
      <c r="D41" s="214"/>
      <c r="E41" s="112">
        <f>+'Sources and Uses'!B22</f>
        <v>4522418</v>
      </c>
      <c r="F41" s="112">
        <f>+'Sources and Uses'!C22</f>
        <v>2329731</v>
      </c>
      <c r="G41" s="112">
        <f>+'Sources and Uses'!D22</f>
        <v>0</v>
      </c>
      <c r="H41" s="112">
        <v>0</v>
      </c>
      <c r="I41" s="112">
        <v>0</v>
      </c>
      <c r="J41" s="112">
        <v>0</v>
      </c>
      <c r="K41" s="112">
        <v>0</v>
      </c>
      <c r="L41" s="112">
        <v>0</v>
      </c>
      <c r="M41" s="112">
        <v>0</v>
      </c>
      <c r="N41" s="112">
        <v>0</v>
      </c>
      <c r="O41" s="369"/>
      <c r="P41" s="5"/>
      <c r="Q41" s="5"/>
      <c r="R41" s="5"/>
      <c r="S41" s="5"/>
      <c r="T41" s="5"/>
      <c r="U41" s="5"/>
      <c r="V41" s="5"/>
      <c r="W41" s="5"/>
    </row>
    <row r="42" spans="2:23">
      <c r="B42" s="103"/>
      <c r="C42" s="100" t="s">
        <v>111</v>
      </c>
      <c r="D42" s="113"/>
      <c r="E42" s="112">
        <f>+'Sources and Uses'!B26</f>
        <v>0</v>
      </c>
      <c r="F42" s="112">
        <f>+'Sources and Uses'!C26</f>
        <v>0</v>
      </c>
      <c r="G42" s="112">
        <f>+'Sources and Uses'!D26</f>
        <v>0</v>
      </c>
      <c r="H42" s="112">
        <f>+'Sources and Uses'!E26</f>
        <v>0</v>
      </c>
      <c r="I42" s="112">
        <f>+'Sources and Uses'!F26</f>
        <v>0</v>
      </c>
      <c r="J42" s="112">
        <f>+'Sources and Uses'!G26</f>
        <v>0</v>
      </c>
      <c r="K42" s="112">
        <f>+'Sources and Uses'!H26</f>
        <v>0</v>
      </c>
      <c r="L42" s="112">
        <f>+'Sources and Uses'!I26</f>
        <v>0</v>
      </c>
      <c r="M42" s="112">
        <f>+'Sources and Uses'!J26</f>
        <v>0</v>
      </c>
      <c r="N42" s="112">
        <f>+'Sources and Uses'!K26</f>
        <v>0</v>
      </c>
      <c r="O42" s="5"/>
      <c r="P42" s="5"/>
      <c r="Q42" s="5"/>
      <c r="R42" s="5"/>
      <c r="S42" s="5"/>
      <c r="T42" s="5"/>
      <c r="U42" s="5"/>
      <c r="V42" s="5"/>
      <c r="W42" s="5"/>
    </row>
    <row r="43" spans="2:23">
      <c r="B43" s="103"/>
      <c r="C43" s="100" t="s">
        <v>254</v>
      </c>
      <c r="D43" s="113"/>
      <c r="E43" s="112">
        <v>0</v>
      </c>
      <c r="F43" s="112">
        <v>0</v>
      </c>
      <c r="G43" s="112">
        <v>0</v>
      </c>
      <c r="H43" s="112">
        <v>0</v>
      </c>
      <c r="I43" s="112">
        <v>0</v>
      </c>
      <c r="J43" s="112">
        <v>0</v>
      </c>
      <c r="K43" s="112">
        <v>0</v>
      </c>
      <c r="L43" s="112">
        <v>0</v>
      </c>
      <c r="M43" s="112">
        <v>0</v>
      </c>
      <c r="N43" s="112">
        <v>0</v>
      </c>
      <c r="O43" s="5"/>
      <c r="P43" s="5"/>
      <c r="Q43" s="5"/>
      <c r="R43" s="5"/>
      <c r="S43" s="5"/>
      <c r="T43" s="5"/>
      <c r="U43" s="5"/>
      <c r="V43" s="5"/>
      <c r="W43" s="5"/>
    </row>
    <row r="44" spans="2:23">
      <c r="B44" s="117"/>
      <c r="C44" s="118" t="s">
        <v>255</v>
      </c>
      <c r="D44" s="113"/>
      <c r="E44" s="112">
        <v>0</v>
      </c>
      <c r="F44" s="112">
        <v>0</v>
      </c>
      <c r="G44" s="112">
        <v>0</v>
      </c>
      <c r="H44" s="112">
        <v>0</v>
      </c>
      <c r="I44" s="112">
        <v>0</v>
      </c>
      <c r="J44" s="112">
        <v>0</v>
      </c>
      <c r="K44" s="112">
        <v>0</v>
      </c>
      <c r="L44" s="112">
        <v>0</v>
      </c>
      <c r="M44" s="112">
        <v>0</v>
      </c>
      <c r="N44" s="112">
        <v>0</v>
      </c>
      <c r="O44" s="5"/>
      <c r="P44" s="5"/>
      <c r="Q44" s="5"/>
      <c r="R44" s="5"/>
      <c r="S44" s="5"/>
      <c r="T44" s="5"/>
      <c r="U44" s="5"/>
      <c r="V44" s="5"/>
      <c r="W44" s="5"/>
    </row>
    <row r="45" spans="2:23">
      <c r="B45" s="103"/>
      <c r="C45" s="100" t="s">
        <v>256</v>
      </c>
      <c r="D45" s="113"/>
      <c r="E45" s="112">
        <v>0</v>
      </c>
      <c r="F45" s="112">
        <v>0</v>
      </c>
      <c r="G45" s="112">
        <v>0</v>
      </c>
      <c r="H45" s="112">
        <v>0</v>
      </c>
      <c r="I45" s="112">
        <v>0</v>
      </c>
      <c r="J45" s="112">
        <v>0</v>
      </c>
      <c r="K45" s="112">
        <v>0</v>
      </c>
      <c r="L45" s="112">
        <v>0</v>
      </c>
      <c r="M45" s="112">
        <v>0</v>
      </c>
      <c r="N45" s="112">
        <v>0</v>
      </c>
      <c r="O45" s="5"/>
      <c r="P45" s="5"/>
      <c r="Q45" s="5"/>
      <c r="R45" s="5"/>
      <c r="S45" s="5"/>
      <c r="T45" s="5"/>
      <c r="U45" s="5"/>
      <c r="V45" s="5"/>
      <c r="W45" s="5"/>
    </row>
    <row r="46" spans="2:23">
      <c r="B46" s="94"/>
      <c r="C46" s="10"/>
      <c r="D46" s="119" t="s">
        <v>77</v>
      </c>
      <c r="E46" s="120" t="s">
        <v>77</v>
      </c>
      <c r="F46" s="120" t="s">
        <v>77</v>
      </c>
      <c r="G46" s="120" t="s">
        <v>77</v>
      </c>
      <c r="H46" s="120" t="s">
        <v>77</v>
      </c>
      <c r="I46" s="120" t="s">
        <v>77</v>
      </c>
      <c r="J46" s="120" t="s">
        <v>77</v>
      </c>
      <c r="K46" s="120" t="s">
        <v>77</v>
      </c>
      <c r="L46" s="120" t="s">
        <v>77</v>
      </c>
      <c r="M46" s="120" t="s">
        <v>77</v>
      </c>
      <c r="N46" s="120" t="s">
        <v>77</v>
      </c>
      <c r="O46" s="5"/>
      <c r="P46" s="5"/>
      <c r="Q46" s="5"/>
      <c r="R46" s="5"/>
      <c r="S46" s="5"/>
      <c r="T46" s="5"/>
      <c r="U46" s="5"/>
      <c r="V46" s="5"/>
      <c r="W46" s="5"/>
    </row>
    <row r="47" spans="2:23">
      <c r="B47" s="105"/>
      <c r="C47" s="106"/>
      <c r="D47" s="107" t="s">
        <v>118</v>
      </c>
      <c r="E47" s="86">
        <f>SUM(E37:E46)</f>
        <v>10731835</v>
      </c>
      <c r="F47" s="86">
        <f t="shared" ref="F47:I47" si="10">SUM(F37:F46)</f>
        <v>18614273</v>
      </c>
      <c r="G47" s="86">
        <f t="shared" si="10"/>
        <v>0</v>
      </c>
      <c r="H47" s="86">
        <f t="shared" si="10"/>
        <v>0</v>
      </c>
      <c r="I47" s="86">
        <f t="shared" si="10"/>
        <v>0</v>
      </c>
      <c r="J47" s="86">
        <f t="shared" ref="J47:N47" si="11">SUM(J37:J46)</f>
        <v>0</v>
      </c>
      <c r="K47" s="86">
        <f t="shared" si="11"/>
        <v>0</v>
      </c>
      <c r="L47" s="86">
        <f t="shared" si="11"/>
        <v>0</v>
      </c>
      <c r="M47" s="86">
        <f t="shared" si="11"/>
        <v>0</v>
      </c>
      <c r="N47" s="86">
        <f t="shared" si="11"/>
        <v>0</v>
      </c>
      <c r="O47" s="5"/>
      <c r="P47" s="5"/>
      <c r="Q47" s="5"/>
      <c r="R47" s="5"/>
      <c r="S47" s="5"/>
      <c r="T47" s="5"/>
      <c r="U47" s="5"/>
      <c r="V47" s="5"/>
      <c r="W47" s="5"/>
    </row>
    <row r="48" spans="2:23">
      <c r="B48" s="94"/>
      <c r="C48" s="10"/>
      <c r="D48" s="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5"/>
      <c r="P48" s="5"/>
      <c r="Q48" s="5"/>
      <c r="R48" s="5"/>
      <c r="S48" s="5"/>
      <c r="T48" s="5"/>
      <c r="U48" s="5"/>
      <c r="V48" s="5"/>
      <c r="W48" s="5"/>
    </row>
    <row r="49" spans="2:23">
      <c r="B49" s="121"/>
      <c r="C49" s="8"/>
      <c r="D49" s="9" t="s">
        <v>119</v>
      </c>
      <c r="E49" s="86">
        <f>+E47-E34+E26</f>
        <v>2625893.9399999995</v>
      </c>
      <c r="F49" s="86">
        <f t="shared" ref="F49:I49" si="12">+F47-F34+F26</f>
        <v>-2285744</v>
      </c>
      <c r="G49" s="86">
        <f t="shared" si="12"/>
        <v>386336</v>
      </c>
      <c r="H49" s="86">
        <f t="shared" si="12"/>
        <v>508336</v>
      </c>
      <c r="I49" s="86">
        <f t="shared" si="12"/>
        <v>569900</v>
      </c>
      <c r="J49" s="86">
        <f t="shared" ref="J49:N49" si="13">+J47-J34+J26</f>
        <v>154283</v>
      </c>
      <c r="K49" s="86">
        <f t="shared" si="13"/>
        <v>152882</v>
      </c>
      <c r="L49" s="86">
        <f t="shared" si="13"/>
        <v>151281</v>
      </c>
      <c r="M49" s="86">
        <f t="shared" si="13"/>
        <v>149480</v>
      </c>
      <c r="N49" s="86">
        <f t="shared" si="13"/>
        <v>147379</v>
      </c>
      <c r="O49" s="5"/>
      <c r="P49" s="5"/>
      <c r="Q49" s="5"/>
      <c r="R49" s="5"/>
      <c r="S49" s="5"/>
      <c r="T49" s="5"/>
      <c r="U49" s="5"/>
      <c r="V49" s="5"/>
      <c r="W49" s="5"/>
    </row>
    <row r="50" spans="2:23">
      <c r="B50" s="94"/>
      <c r="C50" s="10"/>
      <c r="D50" s="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5"/>
      <c r="P50" s="5"/>
      <c r="Q50" s="5"/>
      <c r="R50" s="5"/>
      <c r="S50" s="5"/>
      <c r="T50" s="5"/>
      <c r="U50" s="5"/>
      <c r="V50" s="5"/>
      <c r="W50" s="5"/>
    </row>
    <row r="51" spans="2:23">
      <c r="B51" s="121"/>
      <c r="C51" s="8"/>
      <c r="D51" s="122" t="s">
        <v>120</v>
      </c>
      <c r="E51" s="86">
        <f>+E49+E8</f>
        <v>2625893.9399999995</v>
      </c>
      <c r="F51" s="86">
        <f t="shared" ref="F51:I51" si="14">+F49+F8</f>
        <v>340149.93999999948</v>
      </c>
      <c r="G51" s="86">
        <f t="shared" si="14"/>
        <v>726485.93999999948</v>
      </c>
      <c r="H51" s="86">
        <f t="shared" si="14"/>
        <v>1234821.9399999995</v>
      </c>
      <c r="I51" s="86">
        <f t="shared" si="14"/>
        <v>1804721.9399999995</v>
      </c>
      <c r="J51" s="86">
        <f t="shared" ref="J51:N51" si="15">+J49+J8</f>
        <v>1959004.9399999995</v>
      </c>
      <c r="K51" s="86">
        <f t="shared" si="15"/>
        <v>2111886.9399999995</v>
      </c>
      <c r="L51" s="86">
        <f t="shared" si="15"/>
        <v>2263167.9399999995</v>
      </c>
      <c r="M51" s="86">
        <f t="shared" si="15"/>
        <v>2412647.9399999995</v>
      </c>
      <c r="N51" s="86">
        <f t="shared" si="15"/>
        <v>2560026.9399999995</v>
      </c>
      <c r="O51" s="5"/>
      <c r="P51" s="5"/>
      <c r="Q51" s="5"/>
      <c r="R51" s="5"/>
      <c r="S51" s="5"/>
      <c r="T51" s="5"/>
      <c r="U51" s="5"/>
      <c r="V51" s="5"/>
      <c r="W51" s="5"/>
    </row>
    <row r="52" spans="2:23">
      <c r="B52" s="5"/>
      <c r="C52" s="5"/>
      <c r="D52" s="10"/>
      <c r="E52" s="10"/>
      <c r="F52" s="10"/>
      <c r="G52" s="10"/>
      <c r="H52" s="10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2:23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2:23">
      <c r="B54" s="5"/>
      <c r="C54" s="5"/>
      <c r="D54" s="5"/>
      <c r="E54" s="5"/>
      <c r="F54" s="5"/>
      <c r="G54" s="5"/>
      <c r="H54" s="369">
        <f>+H26+H39</f>
        <v>540000</v>
      </c>
      <c r="I54" s="369">
        <f>+I26+I39</f>
        <v>569900</v>
      </c>
      <c r="J54" s="369"/>
      <c r="K54" s="369"/>
      <c r="L54" s="369"/>
      <c r="M54" s="369"/>
      <c r="N54" s="369"/>
      <c r="O54" s="5"/>
      <c r="P54" s="5"/>
      <c r="Q54" s="5"/>
      <c r="R54" s="5"/>
      <c r="S54" s="5"/>
      <c r="T54" s="5"/>
      <c r="U54" s="5"/>
      <c r="V54" s="5"/>
      <c r="W54" s="5"/>
    </row>
    <row r="55" spans="2:23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2:2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2:2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2:23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2:2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2:23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2:23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2:23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2:23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2:23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2:23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2:23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2:23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2:23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2:23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2:23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2:23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2:2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2:2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2:2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2:23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2:23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2:23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2:2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2:23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2:23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2:23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2:23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2:23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2:23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2:23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2:23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2:23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2:23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2:23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2:23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2:23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2:23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2:23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2:23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2:23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2:23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2:23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2:23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2:23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2:23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2:23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2:23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2:23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2:23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2:23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2:23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2:23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2:23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2:2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2:2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2:23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2:2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2:23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2:23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2:23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2:23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2:23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2:23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2:23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2:23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2:23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2:23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2:23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2:2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2:2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2:2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2:2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2:23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2:23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2:23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2:23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2:23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2:23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2:23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2:23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2:23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2:23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2:23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2:23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2:23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2:2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2:23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2:23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2:2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2:23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2:23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2:23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2:23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2:23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2:23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2:23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2:23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2:23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2:23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2:2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2:23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2:23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2:23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2:2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2:23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2:23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2:23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2:23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2:23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2:23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2:23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2:23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2:23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2:23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2:2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2:23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2:23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2:23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2:23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2:23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</sheetData>
  <mergeCells count="12">
    <mergeCell ref="R29:T30"/>
    <mergeCell ref="F1:I1"/>
    <mergeCell ref="F2:I2"/>
    <mergeCell ref="F3:I3"/>
    <mergeCell ref="F4:I4"/>
    <mergeCell ref="E5:I5"/>
    <mergeCell ref="J5:N5"/>
    <mergeCell ref="B10:D10"/>
    <mergeCell ref="C12:D13"/>
    <mergeCell ref="B28:D28"/>
    <mergeCell ref="B36:D36"/>
    <mergeCell ref="B1:D3"/>
  </mergeCells>
  <phoneticPr fontId="38" type="noConversion"/>
  <pageMargins left="0.2" right="0.2" top="0.25" bottom="0.34" header="0.3" footer="0.1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AB139"/>
  <sheetViews>
    <sheetView topLeftCell="A109" workbookViewId="0">
      <selection activeCell="C31" sqref="C31"/>
    </sheetView>
  </sheetViews>
  <sheetFormatPr defaultRowHeight="12.75"/>
  <cols>
    <col min="1" max="1" width="19.42578125" style="559" customWidth="1"/>
    <col min="2" max="2" width="0.7109375" style="559" customWidth="1"/>
    <col min="3" max="3" width="16.140625" style="561" customWidth="1"/>
    <col min="4" max="4" width="12.85546875" style="559" bestFit="1" customWidth="1"/>
    <col min="5" max="10" width="9.42578125" style="559" bestFit="1" customWidth="1"/>
    <col min="11" max="13" width="9.28515625" style="559" bestFit="1" customWidth="1"/>
    <col min="14" max="15" width="9.5703125" style="559" bestFit="1" customWidth="1"/>
    <col min="16" max="28" width="9.28515625" style="559" bestFit="1" customWidth="1"/>
    <col min="29" max="16384" width="9.140625" style="559"/>
  </cols>
  <sheetData>
    <row r="1" spans="1:28" s="216" customFormat="1" ht="20.100000000000001" customHeight="1">
      <c r="A1" s="652" t="s">
        <v>585</v>
      </c>
      <c r="B1" s="557"/>
      <c r="C1" s="654" t="s">
        <v>248</v>
      </c>
      <c r="D1" s="648" t="s">
        <v>249</v>
      </c>
      <c r="E1" s="648"/>
      <c r="F1" s="648"/>
      <c r="G1" s="648"/>
      <c r="H1" s="648" t="s">
        <v>250</v>
      </c>
      <c r="I1" s="648"/>
      <c r="J1" s="648"/>
      <c r="K1" s="648"/>
      <c r="L1" s="648" t="s">
        <v>251</v>
      </c>
      <c r="M1" s="648"/>
      <c r="N1" s="648"/>
      <c r="O1" s="648"/>
      <c r="P1" s="648" t="s">
        <v>252</v>
      </c>
      <c r="Q1" s="648"/>
      <c r="R1" s="648"/>
      <c r="S1" s="648"/>
      <c r="T1" s="648" t="s">
        <v>121</v>
      </c>
      <c r="U1" s="648"/>
      <c r="V1" s="648"/>
      <c r="W1" s="648"/>
      <c r="X1" s="649" t="s">
        <v>604</v>
      </c>
      <c r="Y1" s="650"/>
      <c r="Z1" s="650"/>
      <c r="AA1" s="650"/>
      <c r="AB1" s="651"/>
    </row>
    <row r="2" spans="1:28" s="216" customFormat="1" ht="20.100000000000001" customHeight="1">
      <c r="A2" s="653"/>
      <c r="B2" s="558"/>
      <c r="C2" s="655"/>
      <c r="D2" s="491" t="s">
        <v>122</v>
      </c>
      <c r="E2" s="491" t="s">
        <v>260</v>
      </c>
      <c r="F2" s="491" t="s">
        <v>261</v>
      </c>
      <c r="G2" s="491" t="s">
        <v>262</v>
      </c>
      <c r="H2" s="492" t="s">
        <v>122</v>
      </c>
      <c r="I2" s="491" t="s">
        <v>260</v>
      </c>
      <c r="J2" s="491" t="s">
        <v>261</v>
      </c>
      <c r="K2" s="491" t="s">
        <v>262</v>
      </c>
      <c r="L2" s="492" t="s">
        <v>122</v>
      </c>
      <c r="M2" s="491" t="s">
        <v>260</v>
      </c>
      <c r="N2" s="491" t="s">
        <v>261</v>
      </c>
      <c r="O2" s="491" t="s">
        <v>262</v>
      </c>
      <c r="P2" s="492" t="s">
        <v>122</v>
      </c>
      <c r="Q2" s="491" t="s">
        <v>260</v>
      </c>
      <c r="R2" s="491" t="s">
        <v>261</v>
      </c>
      <c r="S2" s="491" t="s">
        <v>262</v>
      </c>
      <c r="T2" s="492" t="s">
        <v>263</v>
      </c>
      <c r="U2" s="491" t="s">
        <v>260</v>
      </c>
      <c r="V2" s="491" t="s">
        <v>261</v>
      </c>
      <c r="W2" s="491" t="s">
        <v>262</v>
      </c>
      <c r="X2" s="546">
        <v>6</v>
      </c>
      <c r="Y2" s="546">
        <v>7</v>
      </c>
      <c r="Z2" s="546">
        <v>8</v>
      </c>
      <c r="AA2" s="546">
        <v>9</v>
      </c>
      <c r="AB2" s="546">
        <v>10</v>
      </c>
    </row>
    <row r="3" spans="1:28" s="216" customFormat="1" ht="38.25">
      <c r="A3" s="232" t="s">
        <v>480</v>
      </c>
      <c r="B3" s="232"/>
      <c r="C3" s="533" t="s">
        <v>586</v>
      </c>
      <c r="D3" s="544">
        <v>0</v>
      </c>
      <c r="E3" s="544">
        <v>0</v>
      </c>
      <c r="F3" s="544">
        <f>SUM(C14*C17/2)</f>
        <v>581.25</v>
      </c>
      <c r="G3" s="544">
        <f>SUM(C14*C17/2)</f>
        <v>581.25</v>
      </c>
      <c r="H3" s="544">
        <f>SUM(C14*(C18-C17)/4)</f>
        <v>313.875</v>
      </c>
      <c r="I3" s="544">
        <f>SUM(C14*(C18-C17)/4)</f>
        <v>313.875</v>
      </c>
      <c r="J3" s="544">
        <f>SUM(C14*(C18-C17)/4)</f>
        <v>313.875</v>
      </c>
      <c r="K3" s="544">
        <f>SUM(C14*(C18-C17)/4)</f>
        <v>313.875</v>
      </c>
      <c r="L3" s="544">
        <f>SUM(C14*(C19-C18)/4)</f>
        <v>0</v>
      </c>
      <c r="M3" s="544">
        <f>SUM(C14*(C19-C18)/4)</f>
        <v>0</v>
      </c>
      <c r="N3" s="544">
        <f>SUM(C14*(C19-C18)/4)</f>
        <v>0</v>
      </c>
      <c r="O3" s="544">
        <f>SUM(C14*(C19-C18)/4)</f>
        <v>0</v>
      </c>
      <c r="P3" s="544">
        <f>SUM(C14*(C20-C19)/4)</f>
        <v>0</v>
      </c>
      <c r="Q3" s="544">
        <f>SUM(C14*(C20-C19)/4)</f>
        <v>0</v>
      </c>
      <c r="R3" s="544">
        <f>SUM(C14*(C20-C19)/4)</f>
        <v>0</v>
      </c>
      <c r="S3" s="544">
        <f>SUM(C14*(C20-C19)/4)</f>
        <v>0</v>
      </c>
      <c r="T3" s="544">
        <f>SUM(C14*(C21-C20)/4)</f>
        <v>0</v>
      </c>
      <c r="U3" s="544">
        <f>SUM(C14*(C21-C20)/4)</f>
        <v>0</v>
      </c>
      <c r="V3" s="544">
        <f>SUM(C14*(C21-C20)/4)</f>
        <v>0</v>
      </c>
      <c r="W3" s="544">
        <f>SUM(C14*(C21-C20)/4)</f>
        <v>0</v>
      </c>
      <c r="X3" s="547">
        <f>SUM(W4*C22)</f>
        <v>0</v>
      </c>
      <c r="Y3" s="547">
        <f>SUM(X4*C22)</f>
        <v>0</v>
      </c>
      <c r="Z3" s="547">
        <f>SUM(Y4*C22)</f>
        <v>0</v>
      </c>
      <c r="AA3" s="547">
        <f>SUM(Z4*C22)</f>
        <v>0</v>
      </c>
      <c r="AB3" s="547">
        <f>SUM(AA4*C22)</f>
        <v>0</v>
      </c>
    </row>
    <row r="4" spans="1:28" s="216" customFormat="1" ht="25.5">
      <c r="A4" s="232" t="s">
        <v>602</v>
      </c>
      <c r="B4" s="232"/>
      <c r="C4" s="533"/>
      <c r="D4" s="544">
        <f>SUM(D3)</f>
        <v>0</v>
      </c>
      <c r="E4" s="544">
        <f>SUM(D4+E3)</f>
        <v>0</v>
      </c>
      <c r="F4" s="544">
        <f t="shared" ref="F4:AB4" si="0">SUM(E4+F3)</f>
        <v>581.25</v>
      </c>
      <c r="G4" s="544">
        <f t="shared" si="0"/>
        <v>1162.5</v>
      </c>
      <c r="H4" s="544">
        <f t="shared" si="0"/>
        <v>1476.375</v>
      </c>
      <c r="I4" s="544">
        <f t="shared" si="0"/>
        <v>1790.25</v>
      </c>
      <c r="J4" s="544">
        <f t="shared" si="0"/>
        <v>2104.125</v>
      </c>
      <c r="K4" s="544">
        <f t="shared" si="0"/>
        <v>2418</v>
      </c>
      <c r="L4" s="544">
        <f t="shared" si="0"/>
        <v>2418</v>
      </c>
      <c r="M4" s="544">
        <f t="shared" si="0"/>
        <v>2418</v>
      </c>
      <c r="N4" s="544">
        <f t="shared" si="0"/>
        <v>2418</v>
      </c>
      <c r="O4" s="544">
        <f t="shared" si="0"/>
        <v>2418</v>
      </c>
      <c r="P4" s="544">
        <f t="shared" si="0"/>
        <v>2418</v>
      </c>
      <c r="Q4" s="544">
        <f t="shared" si="0"/>
        <v>2418</v>
      </c>
      <c r="R4" s="544">
        <f t="shared" si="0"/>
        <v>2418</v>
      </c>
      <c r="S4" s="544">
        <f t="shared" si="0"/>
        <v>2418</v>
      </c>
      <c r="T4" s="544">
        <f t="shared" si="0"/>
        <v>2418</v>
      </c>
      <c r="U4" s="544">
        <f t="shared" si="0"/>
        <v>2418</v>
      </c>
      <c r="V4" s="544">
        <f t="shared" si="0"/>
        <v>2418</v>
      </c>
      <c r="W4" s="544">
        <f t="shared" si="0"/>
        <v>2418</v>
      </c>
      <c r="X4" s="547">
        <f t="shared" si="0"/>
        <v>2418</v>
      </c>
      <c r="Y4" s="547">
        <f t="shared" si="0"/>
        <v>2418</v>
      </c>
      <c r="Z4" s="547">
        <f t="shared" si="0"/>
        <v>2418</v>
      </c>
      <c r="AA4" s="547">
        <f t="shared" si="0"/>
        <v>2418</v>
      </c>
      <c r="AB4" s="547">
        <f t="shared" si="0"/>
        <v>2418</v>
      </c>
    </row>
    <row r="5" spans="1:28" s="488" customFormat="1" ht="25.5">
      <c r="A5" s="542" t="s">
        <v>603</v>
      </c>
      <c r="B5" s="542"/>
      <c r="C5" s="543"/>
      <c r="D5" s="540">
        <f>SUM(D4/C14)</f>
        <v>0</v>
      </c>
      <c r="E5" s="540">
        <f>SUM(E4/C14)</f>
        <v>0</v>
      </c>
      <c r="F5" s="540">
        <f>SUM(F4/C14)</f>
        <v>0.125</v>
      </c>
      <c r="G5" s="540">
        <f>SUM(G4/C14)</f>
        <v>0.25</v>
      </c>
      <c r="H5" s="540">
        <f>SUM(H4/C14)</f>
        <v>0.3175</v>
      </c>
      <c r="I5" s="540">
        <f>SUM(I4/C14)</f>
        <v>0.38500000000000001</v>
      </c>
      <c r="J5" s="540">
        <f>SUM(J4/C14)</f>
        <v>0.45250000000000001</v>
      </c>
      <c r="K5" s="540">
        <f>SUM(K4/C14)</f>
        <v>0.52</v>
      </c>
      <c r="L5" s="540">
        <f>SUM(L4/C14)</f>
        <v>0.52</v>
      </c>
      <c r="M5" s="540">
        <f>SUM(M4/C14)</f>
        <v>0.52</v>
      </c>
      <c r="N5" s="540">
        <f>SUM(N4/C14)</f>
        <v>0.52</v>
      </c>
      <c r="O5" s="540">
        <f>SUM(O4/C14)</f>
        <v>0.52</v>
      </c>
      <c r="P5" s="540">
        <f>SUM(P4/C14)</f>
        <v>0.52</v>
      </c>
      <c r="Q5" s="540">
        <f>SUM(Q4/C14)</f>
        <v>0.52</v>
      </c>
      <c r="R5" s="540">
        <f>SUM(R4/C14)</f>
        <v>0.52</v>
      </c>
      <c r="S5" s="540">
        <f>SUM(S4/C14)</f>
        <v>0.52</v>
      </c>
      <c r="T5" s="540">
        <f>SUM(T4/C14)</f>
        <v>0.52</v>
      </c>
      <c r="U5" s="540">
        <f>SUM(U4/C14)</f>
        <v>0.52</v>
      </c>
      <c r="V5" s="540">
        <f>SUM(V4/C14)</f>
        <v>0.52</v>
      </c>
      <c r="W5" s="540">
        <f>SUM(W4/C14)</f>
        <v>0.52</v>
      </c>
      <c r="X5" s="548">
        <f>SUM(X4/C14)</f>
        <v>0.52</v>
      </c>
      <c r="Y5" s="548">
        <f>SUM(Y4/C14)</f>
        <v>0.52</v>
      </c>
      <c r="Z5" s="548">
        <f>SUM(Z4/C14)</f>
        <v>0.52</v>
      </c>
      <c r="AA5" s="548">
        <f>SUM(AA4/C14)</f>
        <v>0.52</v>
      </c>
      <c r="AB5" s="548">
        <f>SUM(AB4/C14)</f>
        <v>0.52</v>
      </c>
    </row>
    <row r="6" spans="1:28" s="216" customFormat="1">
      <c r="A6" s="232" t="s">
        <v>481</v>
      </c>
      <c r="B6" s="232"/>
      <c r="C6" s="537">
        <v>0.96</v>
      </c>
      <c r="D6" s="544">
        <f>SUM(D3*C6)</f>
        <v>0</v>
      </c>
      <c r="E6" s="544">
        <f>SUM(E3*C6)</f>
        <v>0</v>
      </c>
      <c r="F6" s="544">
        <f>SUM(F3*C6)</f>
        <v>558</v>
      </c>
      <c r="G6" s="544">
        <f>SUM(G3*C6)</f>
        <v>558</v>
      </c>
      <c r="H6" s="544">
        <f>SUM(H3*C6)</f>
        <v>301.32</v>
      </c>
      <c r="I6" s="544">
        <f>SUM(I3*C6)</f>
        <v>301.32</v>
      </c>
      <c r="J6" s="544">
        <f>SUM(J3*C6)</f>
        <v>301.32</v>
      </c>
      <c r="K6" s="544">
        <f>SUM(K3*C6)</f>
        <v>301.32</v>
      </c>
      <c r="L6" s="544">
        <f>SUM(L3*C6)</f>
        <v>0</v>
      </c>
      <c r="M6" s="544">
        <f>SUM(M3*C6)</f>
        <v>0</v>
      </c>
      <c r="N6" s="544">
        <f>SUM(N3*C6)</f>
        <v>0</v>
      </c>
      <c r="O6" s="544">
        <f>SUM(O3*C6)</f>
        <v>0</v>
      </c>
      <c r="P6" s="544">
        <f>SUM(P3*C6)</f>
        <v>0</v>
      </c>
      <c r="Q6" s="544">
        <f>SUM(Q3*C6)</f>
        <v>0</v>
      </c>
      <c r="R6" s="544">
        <f>SUM(R3*C6)</f>
        <v>0</v>
      </c>
      <c r="S6" s="544">
        <f>SUM(S3*C6)</f>
        <v>0</v>
      </c>
      <c r="T6" s="544">
        <f>SUM(T3*C6)</f>
        <v>0</v>
      </c>
      <c r="U6" s="544">
        <f>SUM(U3*C6)</f>
        <v>0</v>
      </c>
      <c r="V6" s="544">
        <f>SUM(V3*C6)</f>
        <v>0</v>
      </c>
      <c r="W6" s="544">
        <f>SUM(W3*C6)</f>
        <v>0</v>
      </c>
      <c r="X6" s="547">
        <f>SUM(X3*C6)</f>
        <v>0</v>
      </c>
      <c r="Y6" s="547">
        <f>SUM(Y3*C6)</f>
        <v>0</v>
      </c>
      <c r="Z6" s="547">
        <f>SUM(Z3*C6)</f>
        <v>0</v>
      </c>
      <c r="AA6" s="547">
        <f>SUM(AA3*C6)</f>
        <v>0</v>
      </c>
      <c r="AB6" s="547">
        <f>SUM(AB3*C6)</f>
        <v>0</v>
      </c>
    </row>
    <row r="7" spans="1:28" s="216" customFormat="1">
      <c r="A7" s="232" t="s">
        <v>482</v>
      </c>
      <c r="B7" s="232"/>
      <c r="C7" s="537">
        <v>0.01</v>
      </c>
      <c r="D7" s="544">
        <f>SUM(D3*C7)</f>
        <v>0</v>
      </c>
      <c r="E7" s="544">
        <f>SUM(E3*C7)</f>
        <v>0</v>
      </c>
      <c r="F7" s="544">
        <f>SUM(F3*C7)</f>
        <v>5.8125</v>
      </c>
      <c r="G7" s="544">
        <f>SUM(G3*C7)</f>
        <v>5.8125</v>
      </c>
      <c r="H7" s="544">
        <f>SUM(H3*C7)</f>
        <v>3.1387499999999999</v>
      </c>
      <c r="I7" s="544">
        <f>SUM(I3*C7)</f>
        <v>3.1387499999999999</v>
      </c>
      <c r="J7" s="544">
        <f>SUM(J3*C7)</f>
        <v>3.1387499999999999</v>
      </c>
      <c r="K7" s="544">
        <f>SUM(K3*C7)</f>
        <v>3.1387499999999999</v>
      </c>
      <c r="L7" s="544">
        <f>SUM(L3*C7)</f>
        <v>0</v>
      </c>
      <c r="M7" s="544">
        <f>SUM(M3*C7)</f>
        <v>0</v>
      </c>
      <c r="N7" s="544">
        <f>SUM(N3*C7)</f>
        <v>0</v>
      </c>
      <c r="O7" s="544">
        <f>SUM(O3*C7)</f>
        <v>0</v>
      </c>
      <c r="P7" s="544">
        <f>SUM(P3*C7)</f>
        <v>0</v>
      </c>
      <c r="Q7" s="544">
        <f>SUM(Q3*C7)</f>
        <v>0</v>
      </c>
      <c r="R7" s="544">
        <f>SUM(R3*C7)</f>
        <v>0</v>
      </c>
      <c r="S7" s="544">
        <f>SUM(S3*C7)</f>
        <v>0</v>
      </c>
      <c r="T7" s="544">
        <f>SUM(T3*C7)</f>
        <v>0</v>
      </c>
      <c r="U7" s="544">
        <f>SUM(U3*C7)</f>
        <v>0</v>
      </c>
      <c r="V7" s="544">
        <f>SUM(V3*C7)</f>
        <v>0</v>
      </c>
      <c r="W7" s="544">
        <f>SUM(W3*C7)</f>
        <v>0</v>
      </c>
      <c r="X7" s="547">
        <f>SUM(X3*C7)</f>
        <v>0</v>
      </c>
      <c r="Y7" s="547">
        <f>SUM(Y3*C7)</f>
        <v>0</v>
      </c>
      <c r="Z7" s="547">
        <f>SUM(Z3*C7)</f>
        <v>0</v>
      </c>
      <c r="AA7" s="547">
        <f>SUM(AA3*C7)</f>
        <v>0</v>
      </c>
      <c r="AB7" s="547">
        <f>SUM(AB3*C7)</f>
        <v>0</v>
      </c>
    </row>
    <row r="8" spans="1:28" s="216" customFormat="1">
      <c r="A8" s="232" t="s">
        <v>483</v>
      </c>
      <c r="B8" s="232"/>
      <c r="C8" s="556">
        <v>0.01</v>
      </c>
      <c r="D8" s="544">
        <f>SUM(D3*C8)</f>
        <v>0</v>
      </c>
      <c r="E8" s="544">
        <f>SUM(E3*C8)</f>
        <v>0</v>
      </c>
      <c r="F8" s="544">
        <f>SUM(F3*C8)</f>
        <v>5.8125</v>
      </c>
      <c r="G8" s="544">
        <f>SUM(G3*C8)</f>
        <v>5.8125</v>
      </c>
      <c r="H8" s="544">
        <f>SUM(H3*C8)</f>
        <v>3.1387499999999999</v>
      </c>
      <c r="I8" s="544">
        <f>SUM(I3*C8)</f>
        <v>3.1387499999999999</v>
      </c>
      <c r="J8" s="544">
        <f>SUM(J3*C8)</f>
        <v>3.1387499999999999</v>
      </c>
      <c r="K8" s="544">
        <f>SUM(K3*C8)</f>
        <v>3.1387499999999999</v>
      </c>
      <c r="L8" s="544">
        <f>SUM(L3*C8)</f>
        <v>0</v>
      </c>
      <c r="M8" s="544">
        <f>SUM(M3*C8)</f>
        <v>0</v>
      </c>
      <c r="N8" s="544">
        <f>SUM(N3*C8)</f>
        <v>0</v>
      </c>
      <c r="O8" s="544">
        <f>SUM(O3*C8)</f>
        <v>0</v>
      </c>
      <c r="P8" s="544">
        <f>SUM(P3*C8)</f>
        <v>0</v>
      </c>
      <c r="Q8" s="544">
        <f>SUM(Q3*C8)</f>
        <v>0</v>
      </c>
      <c r="R8" s="544">
        <f>SUM(R3*C8)</f>
        <v>0</v>
      </c>
      <c r="S8" s="544">
        <f>SUM(S3*C8)</f>
        <v>0</v>
      </c>
      <c r="T8" s="544">
        <f>SUM(T3*C8)</f>
        <v>0</v>
      </c>
      <c r="U8" s="544">
        <f>SUM(U3*C8)</f>
        <v>0</v>
      </c>
      <c r="V8" s="544">
        <f>SUM(V3*C8)</f>
        <v>0</v>
      </c>
      <c r="W8" s="544">
        <f>SUM(W3*C8)</f>
        <v>0</v>
      </c>
      <c r="X8" s="547">
        <f>SUM(X3*C8)</f>
        <v>0</v>
      </c>
      <c r="Y8" s="547">
        <f>SUM(Y3*C8)</f>
        <v>0</v>
      </c>
      <c r="Z8" s="547">
        <f>SUM(Z3*C8)</f>
        <v>0</v>
      </c>
      <c r="AA8" s="547">
        <f>SUM(AA3*C8)</f>
        <v>0</v>
      </c>
      <c r="AB8" s="547">
        <f>SUM(AB3*C8)</f>
        <v>0</v>
      </c>
    </row>
    <row r="9" spans="1:28" s="553" customFormat="1">
      <c r="A9" s="567" t="s">
        <v>606</v>
      </c>
      <c r="B9" s="552"/>
      <c r="C9" s="537">
        <v>0.01</v>
      </c>
      <c r="D9" s="547">
        <f>SUM(D3*C9)</f>
        <v>0</v>
      </c>
      <c r="E9" s="547">
        <f>SUM(E3*C9)</f>
        <v>0</v>
      </c>
      <c r="F9" s="547">
        <f>SUM(F3*C9)</f>
        <v>5.8125</v>
      </c>
      <c r="G9" s="547">
        <f>SUM(G3*C9)</f>
        <v>5.8125</v>
      </c>
      <c r="H9" s="547">
        <f>SUM(H3*C9)</f>
        <v>3.1387499999999999</v>
      </c>
      <c r="I9" s="547">
        <f>SUM(I3*C9)</f>
        <v>3.1387499999999999</v>
      </c>
      <c r="J9" s="547">
        <f>SUM(J3*C9)</f>
        <v>3.1387499999999999</v>
      </c>
      <c r="K9" s="547">
        <f>SUM(K3*C9)</f>
        <v>3.1387499999999999</v>
      </c>
      <c r="L9" s="547">
        <f>SUM(L3*C9)</f>
        <v>0</v>
      </c>
      <c r="M9" s="547">
        <f>SUM(M3*C9)</f>
        <v>0</v>
      </c>
      <c r="N9" s="547">
        <f>SUM(N3*C9)</f>
        <v>0</v>
      </c>
      <c r="O9" s="547">
        <f>SUM(O3*C9)</f>
        <v>0</v>
      </c>
      <c r="P9" s="547">
        <f>SUM(P3*C9)</f>
        <v>0</v>
      </c>
      <c r="Q9" s="547">
        <f>SUM(Q3*C9)</f>
        <v>0</v>
      </c>
      <c r="R9" s="547">
        <f>SUM(R3*C9)</f>
        <v>0</v>
      </c>
      <c r="S9" s="547">
        <f>SUM(S3*C9)</f>
        <v>0</v>
      </c>
      <c r="T9" s="547">
        <f>SUM(T3*C9)</f>
        <v>0</v>
      </c>
      <c r="U9" s="547">
        <f>SUM(U3*C9)</f>
        <v>0</v>
      </c>
      <c r="V9" s="547">
        <f>SUM(V3*C9)</f>
        <v>0</v>
      </c>
      <c r="W9" s="547">
        <f>SUM(W3*C9)</f>
        <v>0</v>
      </c>
      <c r="X9" s="547">
        <f>SUM(X3*C9)</f>
        <v>0</v>
      </c>
      <c r="Y9" s="547">
        <f>SUM(Y3*C9)</f>
        <v>0</v>
      </c>
      <c r="Z9" s="547">
        <f>SUM(Z3*C9)</f>
        <v>0</v>
      </c>
      <c r="AA9" s="547">
        <f>SUM(AA3*C9)</f>
        <v>0</v>
      </c>
      <c r="AB9" s="547">
        <f>SUM(AB3*C9)</f>
        <v>0</v>
      </c>
    </row>
    <row r="10" spans="1:28" s="216" customFormat="1">
      <c r="A10" s="567" t="s">
        <v>607</v>
      </c>
      <c r="B10" s="232"/>
      <c r="C10" s="555">
        <v>0.01</v>
      </c>
      <c r="D10" s="544">
        <f>SUM(D3*C10)</f>
        <v>0</v>
      </c>
      <c r="E10" s="544">
        <f>SUM(E3*C10)</f>
        <v>0</v>
      </c>
      <c r="F10" s="544">
        <f>SUM(F3*C10)</f>
        <v>5.8125</v>
      </c>
      <c r="G10" s="544">
        <f>SUM(G3*C10)</f>
        <v>5.8125</v>
      </c>
      <c r="H10" s="544">
        <f>SUM(H3*C10)</f>
        <v>3.1387499999999999</v>
      </c>
      <c r="I10" s="544">
        <f>SUM(I3*C10)</f>
        <v>3.1387499999999999</v>
      </c>
      <c r="J10" s="544">
        <f>SUM(J3*C10)</f>
        <v>3.1387499999999999</v>
      </c>
      <c r="K10" s="544">
        <f>SUM(K3*C10)</f>
        <v>3.1387499999999999</v>
      </c>
      <c r="L10" s="544">
        <f>SUM(L3*C10)</f>
        <v>0</v>
      </c>
      <c r="M10" s="544">
        <f>SUM(M3*C10)</f>
        <v>0</v>
      </c>
      <c r="N10" s="544">
        <f>SUM(N3*C10)</f>
        <v>0</v>
      </c>
      <c r="O10" s="544">
        <f>SUM(O3*C10)</f>
        <v>0</v>
      </c>
      <c r="P10" s="544">
        <f>SUM(P3*C10)</f>
        <v>0</v>
      </c>
      <c r="Q10" s="544">
        <f>SUM(Q3*C10)</f>
        <v>0</v>
      </c>
      <c r="R10" s="544">
        <f>SUM(R3*C10)</f>
        <v>0</v>
      </c>
      <c r="S10" s="544">
        <f>SUM(S3*C10)</f>
        <v>0</v>
      </c>
      <c r="T10" s="544">
        <f>SUM(T3*C10)</f>
        <v>0</v>
      </c>
      <c r="U10" s="544">
        <f>SUM(U3*C10)</f>
        <v>0</v>
      </c>
      <c r="V10" s="544">
        <f>SUM(V3*C10)</f>
        <v>0</v>
      </c>
      <c r="W10" s="544">
        <f>SUM(W3*C10)</f>
        <v>0</v>
      </c>
      <c r="X10" s="547">
        <f>SUM(X3*C10)</f>
        <v>0</v>
      </c>
      <c r="Y10" s="547">
        <f>SUM(Y3*C10)</f>
        <v>0</v>
      </c>
      <c r="Z10" s="547">
        <f>SUM(Z3*C10)</f>
        <v>0</v>
      </c>
      <c r="AA10" s="547">
        <f>SUM(AA3*C10)</f>
        <v>0</v>
      </c>
      <c r="AB10" s="547">
        <f>SUM(AB3*C10)</f>
        <v>0</v>
      </c>
    </row>
    <row r="11" spans="1:28" s="216" customFormat="1">
      <c r="A11" s="232"/>
      <c r="B11" s="232"/>
      <c r="C11" s="541">
        <f>SUM(C6:C10)</f>
        <v>1</v>
      </c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549"/>
      <c r="Y11" s="549"/>
      <c r="Z11" s="549"/>
      <c r="AA11" s="549"/>
      <c r="AB11" s="549"/>
    </row>
    <row r="12" spans="1:28" s="216" customFormat="1">
      <c r="A12" s="232"/>
      <c r="B12" s="232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</row>
    <row r="13" spans="1:28" s="216" customFormat="1">
      <c r="A13" s="232"/>
      <c r="B13" s="232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</row>
    <row r="14" spans="1:28" s="216" customFormat="1" ht="25.5">
      <c r="A14" s="232" t="s">
        <v>521</v>
      </c>
      <c r="B14" s="232"/>
      <c r="C14" s="538">
        <v>4650</v>
      </c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</row>
    <row r="15" spans="1:28" s="216" customFormat="1" ht="38.25">
      <c r="A15" s="232" t="s">
        <v>621</v>
      </c>
      <c r="B15" s="232"/>
      <c r="C15" s="538">
        <v>4650</v>
      </c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</row>
    <row r="16" spans="1:28" s="216" customFormat="1" ht="38.25">
      <c r="A16" s="232" t="s">
        <v>622</v>
      </c>
      <c r="B16" s="232"/>
      <c r="C16" s="538">
        <f>SUM(C14-C15)</f>
        <v>0</v>
      </c>
      <c r="D16" s="595" t="s">
        <v>634</v>
      </c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</row>
    <row r="17" spans="1:28" s="216" customFormat="1" ht="28.5" customHeight="1">
      <c r="A17" s="232" t="s">
        <v>601</v>
      </c>
      <c r="B17" s="232"/>
      <c r="C17" s="537">
        <v>0.25</v>
      </c>
      <c r="D17" s="656" t="s">
        <v>623</v>
      </c>
      <c r="E17" s="656"/>
      <c r="F17" s="656"/>
      <c r="G17" s="656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</row>
    <row r="18" spans="1:28" s="216" customFormat="1" ht="36" customHeight="1">
      <c r="A18" s="232" t="s">
        <v>522</v>
      </c>
      <c r="B18" s="232"/>
      <c r="C18" s="539">
        <v>0.52</v>
      </c>
      <c r="D18" s="656"/>
      <c r="E18" s="656"/>
      <c r="F18" s="656"/>
      <c r="G18" s="656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</row>
    <row r="19" spans="1:28" s="216" customFormat="1" ht="25.5">
      <c r="A19" s="232" t="s">
        <v>587</v>
      </c>
      <c r="B19" s="232"/>
      <c r="C19" s="537">
        <v>0.52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</row>
    <row r="20" spans="1:28" ht="25.5">
      <c r="A20" s="232" t="s">
        <v>588</v>
      </c>
      <c r="C20" s="560">
        <v>0.52</v>
      </c>
    </row>
    <row r="21" spans="1:28" ht="25.5">
      <c r="A21" s="232" t="s">
        <v>589</v>
      </c>
      <c r="C21" s="560">
        <v>0.52</v>
      </c>
    </row>
    <row r="22" spans="1:28" ht="32.25" customHeight="1">
      <c r="A22" s="232" t="s">
        <v>590</v>
      </c>
      <c r="C22" s="560">
        <v>0</v>
      </c>
    </row>
    <row r="23" spans="1:28" ht="32.25" customHeight="1">
      <c r="A23" s="232"/>
    </row>
    <row r="24" spans="1:28" ht="32.25" customHeight="1">
      <c r="A24" s="562" t="s">
        <v>591</v>
      </c>
    </row>
    <row r="25" spans="1:28" ht="32.25" customHeight="1">
      <c r="A25" s="484" t="s">
        <v>592</v>
      </c>
      <c r="C25" s="593">
        <v>19.989999999999998</v>
      </c>
      <c r="D25" s="559" t="s">
        <v>635</v>
      </c>
    </row>
    <row r="26" spans="1:28" ht="32.25" customHeight="1">
      <c r="A26" s="484" t="s">
        <v>593</v>
      </c>
      <c r="C26" s="593">
        <v>29.99</v>
      </c>
      <c r="D26" s="559" t="s">
        <v>635</v>
      </c>
    </row>
    <row r="27" spans="1:28" ht="32.25" customHeight="1">
      <c r="A27" s="484" t="s">
        <v>594</v>
      </c>
      <c r="C27" s="593">
        <v>39.79</v>
      </c>
      <c r="D27" s="559" t="s">
        <v>635</v>
      </c>
    </row>
    <row r="28" spans="1:28" s="553" customFormat="1">
      <c r="A28" s="567" t="s">
        <v>606</v>
      </c>
      <c r="B28" s="552"/>
      <c r="C28" s="593">
        <v>0</v>
      </c>
      <c r="D28" s="559" t="s">
        <v>635</v>
      </c>
      <c r="E28" s="547"/>
      <c r="F28" s="547"/>
      <c r="G28" s="547"/>
      <c r="H28" s="547"/>
      <c r="I28" s="547"/>
      <c r="J28" s="547"/>
      <c r="K28" s="547"/>
      <c r="L28" s="547"/>
      <c r="M28" s="547"/>
      <c r="N28" s="547"/>
      <c r="O28" s="547"/>
      <c r="P28" s="547"/>
      <c r="Q28" s="547"/>
      <c r="R28" s="547"/>
      <c r="S28" s="547"/>
      <c r="T28" s="547"/>
      <c r="U28" s="547"/>
      <c r="V28" s="547"/>
      <c r="W28" s="547"/>
      <c r="X28" s="547"/>
      <c r="Y28" s="547"/>
      <c r="Z28" s="547"/>
      <c r="AA28" s="547"/>
      <c r="AB28" s="547"/>
    </row>
    <row r="29" spans="1:28" s="216" customFormat="1">
      <c r="A29" s="567" t="s">
        <v>607</v>
      </c>
      <c r="B29" s="232"/>
      <c r="C29" s="593">
        <v>0</v>
      </c>
      <c r="D29" s="559" t="s">
        <v>635</v>
      </c>
      <c r="E29" s="544"/>
      <c r="F29" s="544"/>
      <c r="G29" s="544"/>
      <c r="H29" s="544"/>
      <c r="I29" s="544"/>
      <c r="J29" s="544"/>
      <c r="K29" s="544"/>
      <c r="L29" s="544"/>
      <c r="M29" s="544"/>
      <c r="N29" s="544"/>
      <c r="O29" s="544"/>
      <c r="P29" s="544"/>
      <c r="Q29" s="544"/>
      <c r="R29" s="544"/>
      <c r="S29" s="544"/>
      <c r="T29" s="544"/>
      <c r="U29" s="544"/>
      <c r="V29" s="544"/>
      <c r="W29" s="544"/>
      <c r="X29" s="547"/>
      <c r="Y29" s="547"/>
      <c r="Z29" s="547"/>
      <c r="AA29" s="547"/>
      <c r="AB29" s="547"/>
    </row>
    <row r="30" spans="1:28" ht="32.25" customHeight="1">
      <c r="A30" s="232" t="s">
        <v>599</v>
      </c>
      <c r="C30" s="593">
        <v>0</v>
      </c>
      <c r="D30" s="559" t="s">
        <v>630</v>
      </c>
    </row>
    <row r="31" spans="1:28" ht="32.25" customHeight="1">
      <c r="A31" s="232"/>
    </row>
    <row r="32" spans="1:28">
      <c r="A32" s="232"/>
    </row>
    <row r="33" spans="1:28" ht="18.75" customHeight="1">
      <c r="A33" s="232"/>
    </row>
    <row r="34" spans="1:28" s="216" customFormat="1" ht="20.100000000000001" customHeight="1">
      <c r="A34" s="652" t="s">
        <v>605</v>
      </c>
      <c r="B34" s="557"/>
      <c r="C34" s="654" t="s">
        <v>248</v>
      </c>
      <c r="D34" s="648" t="s">
        <v>249</v>
      </c>
      <c r="E34" s="648"/>
      <c r="F34" s="648"/>
      <c r="G34" s="648"/>
      <c r="H34" s="648" t="s">
        <v>250</v>
      </c>
      <c r="I34" s="648"/>
      <c r="J34" s="648"/>
      <c r="K34" s="648"/>
      <c r="L34" s="648" t="s">
        <v>251</v>
      </c>
      <c r="M34" s="648"/>
      <c r="N34" s="648"/>
      <c r="O34" s="648"/>
      <c r="P34" s="648" t="s">
        <v>252</v>
      </c>
      <c r="Q34" s="648"/>
      <c r="R34" s="648"/>
      <c r="S34" s="648"/>
      <c r="T34" s="648" t="s">
        <v>121</v>
      </c>
      <c r="U34" s="648"/>
      <c r="V34" s="648"/>
      <c r="W34" s="648"/>
      <c r="X34" s="649" t="s">
        <v>604</v>
      </c>
      <c r="Y34" s="650"/>
      <c r="Z34" s="650"/>
      <c r="AA34" s="650"/>
      <c r="AB34" s="651"/>
    </row>
    <row r="35" spans="1:28" s="216" customFormat="1" ht="34.5" customHeight="1">
      <c r="A35" s="653"/>
      <c r="B35" s="558"/>
      <c r="C35" s="655"/>
      <c r="D35" s="491" t="s">
        <v>122</v>
      </c>
      <c r="E35" s="491" t="s">
        <v>260</v>
      </c>
      <c r="F35" s="491" t="s">
        <v>261</v>
      </c>
      <c r="G35" s="491" t="s">
        <v>262</v>
      </c>
      <c r="H35" s="492" t="s">
        <v>122</v>
      </c>
      <c r="I35" s="491" t="s">
        <v>260</v>
      </c>
      <c r="J35" s="491" t="s">
        <v>261</v>
      </c>
      <c r="K35" s="491" t="s">
        <v>262</v>
      </c>
      <c r="L35" s="492" t="s">
        <v>122</v>
      </c>
      <c r="M35" s="491" t="s">
        <v>260</v>
      </c>
      <c r="N35" s="491" t="s">
        <v>261</v>
      </c>
      <c r="O35" s="491" t="s">
        <v>262</v>
      </c>
      <c r="P35" s="492" t="s">
        <v>122</v>
      </c>
      <c r="Q35" s="491" t="s">
        <v>260</v>
      </c>
      <c r="R35" s="491" t="s">
        <v>261</v>
      </c>
      <c r="S35" s="491" t="s">
        <v>262</v>
      </c>
      <c r="T35" s="492" t="s">
        <v>263</v>
      </c>
      <c r="U35" s="491" t="s">
        <v>260</v>
      </c>
      <c r="V35" s="491" t="s">
        <v>261</v>
      </c>
      <c r="W35" s="491" t="s">
        <v>262</v>
      </c>
      <c r="X35" s="546">
        <v>6</v>
      </c>
      <c r="Y35" s="546">
        <v>7</v>
      </c>
      <c r="Z35" s="546">
        <v>8</v>
      </c>
      <c r="AA35" s="546">
        <v>9</v>
      </c>
      <c r="AB35" s="546">
        <v>10</v>
      </c>
    </row>
    <row r="36" spans="1:28" s="216" customFormat="1" ht="38.25">
      <c r="A36" s="232" t="s">
        <v>480</v>
      </c>
      <c r="B36" s="232"/>
      <c r="C36" s="533" t="s">
        <v>586</v>
      </c>
      <c r="D36" s="544">
        <v>0</v>
      </c>
      <c r="E36" s="544">
        <v>0</v>
      </c>
      <c r="F36" s="544">
        <f>SUM(C50*C53/2)</f>
        <v>50</v>
      </c>
      <c r="G36" s="544">
        <f>SUM(C50*C53/2)</f>
        <v>50</v>
      </c>
      <c r="H36" s="544">
        <f>SUM(C50*(C54-C53)/4)</f>
        <v>25</v>
      </c>
      <c r="I36" s="544">
        <f>SUM(C50*(C54-C53)/4)</f>
        <v>25</v>
      </c>
      <c r="J36" s="544">
        <f>SUM(C50*(C54-C53)/4)</f>
        <v>25</v>
      </c>
      <c r="K36" s="544">
        <f>SUM(C50*(C54-C53)/4)</f>
        <v>25</v>
      </c>
      <c r="L36" s="544">
        <f>SUM(C50*(C55-C54)/4)</f>
        <v>0</v>
      </c>
      <c r="M36" s="544">
        <f>SUM(C50*(C55-C54)/4)</f>
        <v>0</v>
      </c>
      <c r="N36" s="544">
        <f>SUM(C50*(C55-C54)/4)</f>
        <v>0</v>
      </c>
      <c r="O36" s="544">
        <f>SUM(C50*(C55-C54)/4)</f>
        <v>0</v>
      </c>
      <c r="P36" s="544">
        <f>SUM(C50*(C56-C55)/4)</f>
        <v>0</v>
      </c>
      <c r="Q36" s="544">
        <f>SUM(C50*(C56-C55)/4)</f>
        <v>0</v>
      </c>
      <c r="R36" s="544">
        <f>SUM(C50*(C56-C55)/4)</f>
        <v>0</v>
      </c>
      <c r="S36" s="544">
        <f>SUM(C50*(C56-C55)/4)</f>
        <v>0</v>
      </c>
      <c r="T36" s="544">
        <f>SUM(C50*(C57-C56)/4)</f>
        <v>0</v>
      </c>
      <c r="U36" s="544">
        <f>SUM(C50*(C57-C56)/4)</f>
        <v>0</v>
      </c>
      <c r="V36" s="544">
        <f>SUM(C50*(C57-C56)/4)</f>
        <v>0</v>
      </c>
      <c r="W36" s="544">
        <f>SUM(C50*(C57-C56)/4)</f>
        <v>0</v>
      </c>
      <c r="X36" s="547">
        <f>SUM(W37*C58)</f>
        <v>0</v>
      </c>
      <c r="Y36" s="547">
        <f>SUM(X37*C58)</f>
        <v>0</v>
      </c>
      <c r="Z36" s="547">
        <f>SUM(Y37*C58)</f>
        <v>0</v>
      </c>
      <c r="AA36" s="547">
        <f>SUM(Z37*C58)</f>
        <v>0</v>
      </c>
      <c r="AB36" s="547">
        <f>SUM(AA37*C58)</f>
        <v>0</v>
      </c>
    </row>
    <row r="37" spans="1:28" s="216" customFormat="1" ht="25.5">
      <c r="A37" s="232" t="s">
        <v>602</v>
      </c>
      <c r="B37" s="232"/>
      <c r="C37" s="533"/>
      <c r="D37" s="544">
        <f>SUM(D36)</f>
        <v>0</v>
      </c>
      <c r="E37" s="544">
        <f>SUM(D37+E36)</f>
        <v>0</v>
      </c>
      <c r="F37" s="544">
        <f t="shared" ref="F37" si="1">SUM(E37+F36)</f>
        <v>50</v>
      </c>
      <c r="G37" s="544">
        <f t="shared" ref="G37" si="2">SUM(F37+G36)</f>
        <v>100</v>
      </c>
      <c r="H37" s="544">
        <f t="shared" ref="H37" si="3">SUM(G37+H36)</f>
        <v>125</v>
      </c>
      <c r="I37" s="544">
        <f t="shared" ref="I37" si="4">SUM(H37+I36)</f>
        <v>150</v>
      </c>
      <c r="J37" s="544">
        <f t="shared" ref="J37" si="5">SUM(I37+J36)</f>
        <v>175</v>
      </c>
      <c r="K37" s="544">
        <f t="shared" ref="K37" si="6">SUM(J37+K36)</f>
        <v>200</v>
      </c>
      <c r="L37" s="544">
        <f t="shared" ref="L37" si="7">SUM(K37+L36)</f>
        <v>200</v>
      </c>
      <c r="M37" s="544">
        <f t="shared" ref="M37" si="8">SUM(L37+M36)</f>
        <v>200</v>
      </c>
      <c r="N37" s="544">
        <f t="shared" ref="N37" si="9">SUM(M37+N36)</f>
        <v>200</v>
      </c>
      <c r="O37" s="544">
        <f t="shared" ref="O37" si="10">SUM(N37+O36)</f>
        <v>200</v>
      </c>
      <c r="P37" s="544">
        <f t="shared" ref="P37" si="11">SUM(O37+P36)</f>
        <v>200</v>
      </c>
      <c r="Q37" s="544">
        <f t="shared" ref="Q37" si="12">SUM(P37+Q36)</f>
        <v>200</v>
      </c>
      <c r="R37" s="544">
        <f t="shared" ref="R37" si="13">SUM(Q37+R36)</f>
        <v>200</v>
      </c>
      <c r="S37" s="544">
        <f t="shared" ref="S37" si="14">SUM(R37+S36)</f>
        <v>200</v>
      </c>
      <c r="T37" s="544">
        <f t="shared" ref="T37" si="15">SUM(S37+T36)</f>
        <v>200</v>
      </c>
      <c r="U37" s="544">
        <f t="shared" ref="U37" si="16">SUM(T37+U36)</f>
        <v>200</v>
      </c>
      <c r="V37" s="544">
        <f t="shared" ref="V37" si="17">SUM(U37+V36)</f>
        <v>200</v>
      </c>
      <c r="W37" s="544">
        <f t="shared" ref="W37" si="18">SUM(V37+W36)</f>
        <v>200</v>
      </c>
      <c r="X37" s="547">
        <f t="shared" ref="X37" si="19">SUM(W37+X36)</f>
        <v>200</v>
      </c>
      <c r="Y37" s="547">
        <f t="shared" ref="Y37" si="20">SUM(X37+Y36)</f>
        <v>200</v>
      </c>
      <c r="Z37" s="547">
        <f t="shared" ref="Z37" si="21">SUM(Y37+Z36)</f>
        <v>200</v>
      </c>
      <c r="AA37" s="547">
        <f t="shared" ref="AA37" si="22">SUM(Z37+AA36)</f>
        <v>200</v>
      </c>
      <c r="AB37" s="547">
        <f t="shared" ref="AB37" si="23">SUM(AA37+AB36)</f>
        <v>200</v>
      </c>
    </row>
    <row r="38" spans="1:28" s="488" customFormat="1" ht="25.5">
      <c r="A38" s="542" t="s">
        <v>603</v>
      </c>
      <c r="B38" s="542"/>
      <c r="C38" s="543"/>
      <c r="D38" s="540">
        <f>SUM(D37/C50)</f>
        <v>0</v>
      </c>
      <c r="E38" s="540">
        <f>SUM(E37/C50)</f>
        <v>0</v>
      </c>
      <c r="F38" s="540">
        <f>SUM(F37/C50)</f>
        <v>0.125</v>
      </c>
      <c r="G38" s="540">
        <f>SUM(G37/C50)</f>
        <v>0.25</v>
      </c>
      <c r="H38" s="540">
        <f>SUM(H37/C50)</f>
        <v>0.3125</v>
      </c>
      <c r="I38" s="540">
        <f>SUM(I37/C50)</f>
        <v>0.375</v>
      </c>
      <c r="J38" s="540">
        <f>SUM(J37/C50)</f>
        <v>0.4375</v>
      </c>
      <c r="K38" s="540">
        <f>SUM(K37/C50)</f>
        <v>0.5</v>
      </c>
      <c r="L38" s="540">
        <f>SUM(L37/C50)</f>
        <v>0.5</v>
      </c>
      <c r="M38" s="540">
        <f>SUM(M37/C50)</f>
        <v>0.5</v>
      </c>
      <c r="N38" s="540">
        <f>SUM(N37/C50)</f>
        <v>0.5</v>
      </c>
      <c r="O38" s="540">
        <f>SUM(O37/C50)</f>
        <v>0.5</v>
      </c>
      <c r="P38" s="540">
        <f>SUM(P37/C50)</f>
        <v>0.5</v>
      </c>
      <c r="Q38" s="540">
        <f>SUM(Q37/C50)</f>
        <v>0.5</v>
      </c>
      <c r="R38" s="540">
        <f>SUM(R37/C50)</f>
        <v>0.5</v>
      </c>
      <c r="S38" s="540">
        <f>SUM(S37/C50)</f>
        <v>0.5</v>
      </c>
      <c r="T38" s="540">
        <f>SUM(T37/C50)</f>
        <v>0.5</v>
      </c>
      <c r="U38" s="540">
        <f>SUM(U37/C50)</f>
        <v>0.5</v>
      </c>
      <c r="V38" s="540">
        <f>SUM(V37/C50)</f>
        <v>0.5</v>
      </c>
      <c r="W38" s="540">
        <f>SUM(W37/C50)</f>
        <v>0.5</v>
      </c>
      <c r="X38" s="548">
        <f>SUM(X37/C50)</f>
        <v>0.5</v>
      </c>
      <c r="Y38" s="548">
        <f>SUM(Y37/C50)</f>
        <v>0.5</v>
      </c>
      <c r="Z38" s="548">
        <f>SUM(Z37/C50)</f>
        <v>0.5</v>
      </c>
      <c r="AA38" s="548">
        <f>SUM(AA37/C50)</f>
        <v>0.5</v>
      </c>
      <c r="AB38" s="548">
        <f>SUM(AB37/C50)</f>
        <v>0.5</v>
      </c>
    </row>
    <row r="39" spans="1:28" s="216" customFormat="1" ht="25.5">
      <c r="A39" s="484" t="s">
        <v>485</v>
      </c>
      <c r="B39" s="232"/>
      <c r="C39" s="537">
        <v>0.5</v>
      </c>
      <c r="D39" s="544">
        <f>SUM(D36*C39)</f>
        <v>0</v>
      </c>
      <c r="E39" s="544">
        <f>SUM(E36*C39)</f>
        <v>0</v>
      </c>
      <c r="F39" s="544">
        <f>SUM(F36*C39)</f>
        <v>25</v>
      </c>
      <c r="G39" s="544">
        <f>SUM(G36*C39)</f>
        <v>25</v>
      </c>
      <c r="H39" s="544">
        <f>SUM(H36*C39)</f>
        <v>12.5</v>
      </c>
      <c r="I39" s="544">
        <f>SUM(I36*C39)</f>
        <v>12.5</v>
      </c>
      <c r="J39" s="544">
        <f>SUM(J36*C39)</f>
        <v>12.5</v>
      </c>
      <c r="K39" s="544">
        <f>SUM(K36*C39)</f>
        <v>12.5</v>
      </c>
      <c r="L39" s="544">
        <f>SUM(L36*C39)</f>
        <v>0</v>
      </c>
      <c r="M39" s="544">
        <f>SUM(M36*C39)</f>
        <v>0</v>
      </c>
      <c r="N39" s="544">
        <f>SUM(N36*C39)</f>
        <v>0</v>
      </c>
      <c r="O39" s="544">
        <f>SUM(O36*C39)</f>
        <v>0</v>
      </c>
      <c r="P39" s="544">
        <f>SUM(P36*C39)</f>
        <v>0</v>
      </c>
      <c r="Q39" s="544">
        <f>SUM(Q36*C39)</f>
        <v>0</v>
      </c>
      <c r="R39" s="544">
        <f>SUM(R36*C39)</f>
        <v>0</v>
      </c>
      <c r="S39" s="544">
        <f>SUM(S36*C39)</f>
        <v>0</v>
      </c>
      <c r="T39" s="544">
        <f>SUM(T36*C39)</f>
        <v>0</v>
      </c>
      <c r="U39" s="544">
        <f>SUM(U36*C39)</f>
        <v>0</v>
      </c>
      <c r="V39" s="544">
        <f>SUM(V36*C39)</f>
        <v>0</v>
      </c>
      <c r="W39" s="544">
        <f>SUM(W36*C39)</f>
        <v>0</v>
      </c>
      <c r="X39" s="547">
        <f>SUM(X36*C39)</f>
        <v>0</v>
      </c>
      <c r="Y39" s="547">
        <f>SUM(Y36*C39)</f>
        <v>0</v>
      </c>
      <c r="Z39" s="547">
        <f>SUM(Z36*C39)</f>
        <v>0</v>
      </c>
      <c r="AA39" s="547">
        <f>SUM(AA36*C39)</f>
        <v>0</v>
      </c>
      <c r="AB39" s="547">
        <f>SUM(AB36*C39)</f>
        <v>0</v>
      </c>
    </row>
    <row r="40" spans="1:28" s="216" customFormat="1" ht="25.5">
      <c r="A40" s="484" t="s">
        <v>486</v>
      </c>
      <c r="B40" s="232"/>
      <c r="C40" s="537">
        <v>0.25</v>
      </c>
      <c r="D40" s="544">
        <f>SUM(D36*C40)</f>
        <v>0</v>
      </c>
      <c r="E40" s="544">
        <f>SUM(E36*C40)</f>
        <v>0</v>
      </c>
      <c r="F40" s="544">
        <f>SUM(F36*C40)</f>
        <v>12.5</v>
      </c>
      <c r="G40" s="544">
        <f>SUM(G36*C40)</f>
        <v>12.5</v>
      </c>
      <c r="H40" s="544">
        <f>SUM(H36*C40)</f>
        <v>6.25</v>
      </c>
      <c r="I40" s="544">
        <f>SUM(I36*C40)</f>
        <v>6.25</v>
      </c>
      <c r="J40" s="544">
        <f>SUM(J36*C40)</f>
        <v>6.25</v>
      </c>
      <c r="K40" s="544">
        <f>SUM(K36*C40)</f>
        <v>6.25</v>
      </c>
      <c r="L40" s="544">
        <f>SUM(L36*C40)</f>
        <v>0</v>
      </c>
      <c r="M40" s="544">
        <f>SUM(M36*C40)</f>
        <v>0</v>
      </c>
      <c r="N40" s="544">
        <f>SUM(N36*C40)</f>
        <v>0</v>
      </c>
      <c r="O40" s="544">
        <f>SUM(O36*C40)</f>
        <v>0</v>
      </c>
      <c r="P40" s="544">
        <f>SUM(P36*C40)</f>
        <v>0</v>
      </c>
      <c r="Q40" s="544">
        <f>SUM(Q36*C40)</f>
        <v>0</v>
      </c>
      <c r="R40" s="544">
        <f>SUM(R36*C40)</f>
        <v>0</v>
      </c>
      <c r="S40" s="544">
        <f>SUM(S36*C40)</f>
        <v>0</v>
      </c>
      <c r="T40" s="544">
        <f>SUM(T36*C40)</f>
        <v>0</v>
      </c>
      <c r="U40" s="544">
        <f>SUM(U36*C40)</f>
        <v>0</v>
      </c>
      <c r="V40" s="544">
        <f>SUM(V36*C40)</f>
        <v>0</v>
      </c>
      <c r="W40" s="544">
        <f>SUM(W36*C40)</f>
        <v>0</v>
      </c>
      <c r="X40" s="547">
        <f>SUM(X36*C40)</f>
        <v>0</v>
      </c>
      <c r="Y40" s="547">
        <f>SUM(Y36*C40)</f>
        <v>0</v>
      </c>
      <c r="Z40" s="547">
        <f>SUM(Z36*C40)</f>
        <v>0</v>
      </c>
      <c r="AA40" s="547">
        <f>SUM(AA36*C40)</f>
        <v>0</v>
      </c>
      <c r="AB40" s="547">
        <f>SUM(AB36*C40)</f>
        <v>0</v>
      </c>
    </row>
    <row r="41" spans="1:28" s="216" customFormat="1" ht="25.5">
      <c r="A41" s="484" t="s">
        <v>487</v>
      </c>
      <c r="B41" s="232"/>
      <c r="C41" s="537">
        <v>0.01</v>
      </c>
      <c r="D41" s="544">
        <f>SUM(D36*C41)</f>
        <v>0</v>
      </c>
      <c r="E41" s="544">
        <f>SUM(E36*C41)</f>
        <v>0</v>
      </c>
      <c r="F41" s="544">
        <f>SUM(F36*C41)</f>
        <v>0.5</v>
      </c>
      <c r="G41" s="544">
        <f>SUM(G36*C41)</f>
        <v>0.5</v>
      </c>
      <c r="H41" s="544">
        <f>SUM(H36*C41)</f>
        <v>0.25</v>
      </c>
      <c r="I41" s="544">
        <f>SUM(I36*C41)</f>
        <v>0.25</v>
      </c>
      <c r="J41" s="544">
        <f>SUM(J36*C41)</f>
        <v>0.25</v>
      </c>
      <c r="K41" s="544">
        <f>SUM(K36*C41)</f>
        <v>0.25</v>
      </c>
      <c r="L41" s="544">
        <f>SUM(L36*C41)</f>
        <v>0</v>
      </c>
      <c r="M41" s="544">
        <f>SUM(M36*C41)</f>
        <v>0</v>
      </c>
      <c r="N41" s="544">
        <f>SUM(N36*C41)</f>
        <v>0</v>
      </c>
      <c r="O41" s="544">
        <f>SUM(O36*C41)</f>
        <v>0</v>
      </c>
      <c r="P41" s="544">
        <f>SUM(P36*C41)</f>
        <v>0</v>
      </c>
      <c r="Q41" s="544">
        <f>SUM(Q36*C41)</f>
        <v>0</v>
      </c>
      <c r="R41" s="544">
        <f>SUM(R36*C41)</f>
        <v>0</v>
      </c>
      <c r="S41" s="544">
        <f>SUM(S36*C41)</f>
        <v>0</v>
      </c>
      <c r="T41" s="544">
        <f>SUM(T36*C41)</f>
        <v>0</v>
      </c>
      <c r="U41" s="544">
        <f>SUM(U36*C41)</f>
        <v>0</v>
      </c>
      <c r="V41" s="544">
        <f>SUM(V36*C41)</f>
        <v>0</v>
      </c>
      <c r="W41" s="544">
        <f>SUM(W36*C41)</f>
        <v>0</v>
      </c>
      <c r="X41" s="547">
        <f>SUM(X36*C41)</f>
        <v>0</v>
      </c>
      <c r="Y41" s="547">
        <f>SUM(Y36*C41)</f>
        <v>0</v>
      </c>
      <c r="Z41" s="547">
        <f>SUM(Z36*C41)</f>
        <v>0</v>
      </c>
      <c r="AA41" s="547">
        <f>SUM(AA36*C41)</f>
        <v>0</v>
      </c>
      <c r="AB41" s="547">
        <f>SUM(AB36*C41)</f>
        <v>0</v>
      </c>
    </row>
    <row r="42" spans="1:28" s="553" customFormat="1" ht="25.5">
      <c r="A42" s="484" t="s">
        <v>488</v>
      </c>
      <c r="B42" s="552"/>
      <c r="C42" s="537">
        <v>0.01</v>
      </c>
      <c r="D42" s="547">
        <f>SUM(D36*C42)</f>
        <v>0</v>
      </c>
      <c r="E42" s="547">
        <f>SUM(E36*C42)</f>
        <v>0</v>
      </c>
      <c r="F42" s="547">
        <f>SUM(F36*C42)</f>
        <v>0.5</v>
      </c>
      <c r="G42" s="547">
        <f>SUM(G36*C42)</f>
        <v>0.5</v>
      </c>
      <c r="H42" s="547">
        <f>SUM(H36*C42)</f>
        <v>0.25</v>
      </c>
      <c r="I42" s="547">
        <f>SUM(I36*C42)</f>
        <v>0.25</v>
      </c>
      <c r="J42" s="547">
        <f>SUM(J36*C42)</f>
        <v>0.25</v>
      </c>
      <c r="K42" s="547">
        <f>SUM(K36*C42)</f>
        <v>0.25</v>
      </c>
      <c r="L42" s="547">
        <f>SUM(L36*C42)</f>
        <v>0</v>
      </c>
      <c r="M42" s="547">
        <f>SUM(M36*C42)</f>
        <v>0</v>
      </c>
      <c r="N42" s="547">
        <f>SUM(N36*C42)</f>
        <v>0</v>
      </c>
      <c r="O42" s="547">
        <f>SUM(O36*C42)</f>
        <v>0</v>
      </c>
      <c r="P42" s="547">
        <f>SUM(P36*C42)</f>
        <v>0</v>
      </c>
      <c r="Q42" s="547">
        <f>SUM(Q36*C42)</f>
        <v>0</v>
      </c>
      <c r="R42" s="547">
        <f>SUM(R36*C42)</f>
        <v>0</v>
      </c>
      <c r="S42" s="547">
        <f>SUM(S36*C42)</f>
        <v>0</v>
      </c>
      <c r="T42" s="547">
        <f>SUM(T36*C42)</f>
        <v>0</v>
      </c>
      <c r="U42" s="547">
        <f>SUM(U36*C42)</f>
        <v>0</v>
      </c>
      <c r="V42" s="547">
        <f>SUM(V36*C42)</f>
        <v>0</v>
      </c>
      <c r="W42" s="547">
        <f>SUM(W36*C42)</f>
        <v>0</v>
      </c>
      <c r="X42" s="547">
        <f>SUM(X36*C42)</f>
        <v>0</v>
      </c>
      <c r="Y42" s="547">
        <f>SUM(Y36*C42)</f>
        <v>0</v>
      </c>
      <c r="Z42" s="547">
        <f>SUM(Z36*C42)</f>
        <v>0</v>
      </c>
      <c r="AA42" s="547">
        <f>SUM(AA36*C42)</f>
        <v>0</v>
      </c>
      <c r="AB42" s="547">
        <f>SUM(AB36*C42)</f>
        <v>0</v>
      </c>
    </row>
    <row r="43" spans="1:28" s="216" customFormat="1" ht="25.5">
      <c r="A43" s="484" t="s">
        <v>489</v>
      </c>
      <c r="B43" s="232"/>
      <c r="C43" s="537"/>
      <c r="D43" s="544">
        <f>SUM(D36*C43)</f>
        <v>0</v>
      </c>
      <c r="E43" s="544">
        <f>SUM(E36*C43)</f>
        <v>0</v>
      </c>
      <c r="F43" s="544">
        <f>SUM(F36*C43)</f>
        <v>0</v>
      </c>
      <c r="G43" s="544">
        <f>SUM(G36*C43)</f>
        <v>0</v>
      </c>
      <c r="H43" s="544">
        <f>SUM(H36*C43)</f>
        <v>0</v>
      </c>
      <c r="I43" s="544">
        <f>SUM(I36*C43)</f>
        <v>0</v>
      </c>
      <c r="J43" s="544">
        <f>SUM(J36*C43)</f>
        <v>0</v>
      </c>
      <c r="K43" s="544">
        <f>SUM(K36*C43)</f>
        <v>0</v>
      </c>
      <c r="L43" s="544">
        <f>SUM(L36*C43)</f>
        <v>0</v>
      </c>
      <c r="M43" s="544">
        <f>SUM(M36*C43)</f>
        <v>0</v>
      </c>
      <c r="N43" s="544">
        <f>SUM(N36*C43)</f>
        <v>0</v>
      </c>
      <c r="O43" s="544">
        <f>SUM(O36*C43)</f>
        <v>0</v>
      </c>
      <c r="P43" s="544">
        <f>SUM(P36*C43)</f>
        <v>0</v>
      </c>
      <c r="Q43" s="544">
        <f>SUM(Q36*C43)</f>
        <v>0</v>
      </c>
      <c r="R43" s="544">
        <f>SUM(R36*C43)</f>
        <v>0</v>
      </c>
      <c r="S43" s="544">
        <f>SUM(S36*C43)</f>
        <v>0</v>
      </c>
      <c r="T43" s="544">
        <f>SUM(T36*C43)</f>
        <v>0</v>
      </c>
      <c r="U43" s="544">
        <f>SUM(U36*C43)</f>
        <v>0</v>
      </c>
      <c r="V43" s="544">
        <f>SUM(V36*C43)</f>
        <v>0</v>
      </c>
      <c r="W43" s="544">
        <f>SUM(W36*C43)</f>
        <v>0</v>
      </c>
      <c r="X43" s="547">
        <f>SUM(X36*C43)</f>
        <v>0</v>
      </c>
      <c r="Y43" s="547">
        <f>SUM(Y36*C43)</f>
        <v>0</v>
      </c>
      <c r="Z43" s="547">
        <f>SUM(Z36*C43)</f>
        <v>0</v>
      </c>
      <c r="AA43" s="547">
        <f>SUM(AA36*C43)</f>
        <v>0</v>
      </c>
      <c r="AB43" s="547">
        <f>SUM(AB36*C43)</f>
        <v>0</v>
      </c>
    </row>
    <row r="44" spans="1:28" s="216" customFormat="1" ht="25.5">
      <c r="A44" s="484" t="s">
        <v>596</v>
      </c>
      <c r="B44" s="232"/>
      <c r="C44" s="537">
        <v>0.2</v>
      </c>
      <c r="D44" s="544">
        <f>SUM(D36*C44)</f>
        <v>0</v>
      </c>
      <c r="E44" s="544">
        <f>SUM(E36*C44)</f>
        <v>0</v>
      </c>
      <c r="F44" s="544">
        <f>SUM(F36*C44)</f>
        <v>10</v>
      </c>
      <c r="G44" s="544">
        <f>SUM(G36*C44)</f>
        <v>10</v>
      </c>
      <c r="H44" s="544">
        <f>SUM(H36*C44)</f>
        <v>5</v>
      </c>
      <c r="I44" s="544">
        <f>SUM(I36*C44)</f>
        <v>5</v>
      </c>
      <c r="J44" s="544">
        <f>SUM(J36*C44)</f>
        <v>5</v>
      </c>
      <c r="K44" s="544">
        <f>SUM(K36*C44)</f>
        <v>5</v>
      </c>
      <c r="L44" s="544">
        <f>SUM(L36*C44)</f>
        <v>0</v>
      </c>
      <c r="M44" s="544">
        <f>SUM(M36*C44)</f>
        <v>0</v>
      </c>
      <c r="N44" s="544">
        <f>SUM(N36*C44)</f>
        <v>0</v>
      </c>
      <c r="O44" s="544">
        <f>SUM(O36*C44)</f>
        <v>0</v>
      </c>
      <c r="P44" s="544">
        <f>SUM(P36*C44)</f>
        <v>0</v>
      </c>
      <c r="Q44" s="544">
        <f>SUM(Q36*C44)</f>
        <v>0</v>
      </c>
      <c r="R44" s="544">
        <f>SUM(R36*C44)</f>
        <v>0</v>
      </c>
      <c r="S44" s="544">
        <f>SUM(S36*C44)</f>
        <v>0</v>
      </c>
      <c r="T44" s="544">
        <f>SUM(T36*C44)</f>
        <v>0</v>
      </c>
      <c r="U44" s="544">
        <f>SUM(U36*C44)</f>
        <v>0</v>
      </c>
      <c r="V44" s="544">
        <f>SUM(V36*C44)</f>
        <v>0</v>
      </c>
      <c r="W44" s="544">
        <f>SUM(W36*C44)</f>
        <v>0</v>
      </c>
      <c r="X44" s="547">
        <f>SUM(X36*C44)</f>
        <v>0</v>
      </c>
      <c r="Y44" s="547">
        <f>SUM(Y36*C44)</f>
        <v>0</v>
      </c>
      <c r="Z44" s="547">
        <f>SUM(Z36*C44)</f>
        <v>0</v>
      </c>
      <c r="AA44" s="547">
        <f>SUM(AA36*C44)</f>
        <v>0</v>
      </c>
      <c r="AB44" s="547">
        <f>SUM(AB36*C44)</f>
        <v>0</v>
      </c>
    </row>
    <row r="45" spans="1:28" s="216" customFormat="1" ht="25.5">
      <c r="A45" s="484" t="s">
        <v>597</v>
      </c>
      <c r="B45" s="232"/>
      <c r="C45" s="539">
        <v>0.03</v>
      </c>
      <c r="D45" s="544">
        <f>SUM(D36*C45)</f>
        <v>0</v>
      </c>
      <c r="E45" s="544">
        <f>SUM(E36*C45)</f>
        <v>0</v>
      </c>
      <c r="F45" s="544">
        <f>SUM(F36*C45)</f>
        <v>1.5</v>
      </c>
      <c r="G45" s="544">
        <f>SUM(G36*C45)</f>
        <v>1.5</v>
      </c>
      <c r="H45" s="544">
        <f>SUM(H36*C45)</f>
        <v>0.75</v>
      </c>
      <c r="I45" s="544">
        <f>SUM(I36*C45)</f>
        <v>0.75</v>
      </c>
      <c r="J45" s="544">
        <f>SUM(J36*C45)</f>
        <v>0.75</v>
      </c>
      <c r="K45" s="544">
        <f>SUM(K36*C45)</f>
        <v>0.75</v>
      </c>
      <c r="L45" s="544">
        <f>SUM(L36*C45)</f>
        <v>0</v>
      </c>
      <c r="M45" s="544">
        <f>SUM(M36*C45)</f>
        <v>0</v>
      </c>
      <c r="N45" s="544">
        <f>SUM(N36*C45)</f>
        <v>0</v>
      </c>
      <c r="O45" s="544">
        <f>SUM(O36*C45)</f>
        <v>0</v>
      </c>
      <c r="P45" s="544">
        <f>SUM(P36*C45)</f>
        <v>0</v>
      </c>
      <c r="Q45" s="544">
        <f>SUM(Q36*C45)</f>
        <v>0</v>
      </c>
      <c r="R45" s="544">
        <f>SUM(R36*C45)</f>
        <v>0</v>
      </c>
      <c r="S45" s="544">
        <f>SUM(S36*C45)</f>
        <v>0</v>
      </c>
      <c r="T45" s="544">
        <f>SUM(T36*C45)</f>
        <v>0</v>
      </c>
      <c r="U45" s="544">
        <f>SUM(U36*C45)</f>
        <v>0</v>
      </c>
      <c r="V45" s="544">
        <f>SUM(V36*C45)</f>
        <v>0</v>
      </c>
      <c r="W45" s="544">
        <f>SUM(W36*C45)</f>
        <v>0</v>
      </c>
      <c r="X45" s="547">
        <f>SUM(X36*C45)</f>
        <v>0</v>
      </c>
      <c r="Y45" s="547">
        <f>SUM(Y36*C45)</f>
        <v>0</v>
      </c>
      <c r="Z45" s="547">
        <f>SUM(Z36*C45)</f>
        <v>0</v>
      </c>
      <c r="AA45" s="547">
        <f>SUM(AA36*C45)</f>
        <v>0</v>
      </c>
      <c r="AB45" s="547">
        <f>SUM(AB36*C45)</f>
        <v>0</v>
      </c>
    </row>
    <row r="46" spans="1:28" s="216" customFormat="1">
      <c r="A46" s="484" t="s">
        <v>598</v>
      </c>
      <c r="B46" s="232"/>
      <c r="C46" s="554">
        <v>0</v>
      </c>
      <c r="D46" s="544">
        <f>SUM(D36*C46)</f>
        <v>0</v>
      </c>
      <c r="E46" s="544">
        <f>SUM(E36*C46)</f>
        <v>0</v>
      </c>
      <c r="F46" s="544">
        <f>SUM(F36*C46)</f>
        <v>0</v>
      </c>
      <c r="G46" s="544">
        <f>SUM(G36*C46)</f>
        <v>0</v>
      </c>
      <c r="H46" s="544">
        <f>SUM(H36*C46)</f>
        <v>0</v>
      </c>
      <c r="I46" s="544">
        <f>SUM(I36*C46)</f>
        <v>0</v>
      </c>
      <c r="J46" s="544">
        <f>SUM(J36*C46)</f>
        <v>0</v>
      </c>
      <c r="K46" s="544">
        <f>SUM(K36*C46)</f>
        <v>0</v>
      </c>
      <c r="L46" s="544">
        <f>SUM(L36*C46)</f>
        <v>0</v>
      </c>
      <c r="M46" s="544">
        <f>SUM(M36*C46)</f>
        <v>0</v>
      </c>
      <c r="N46" s="544">
        <f>SUM(N36*C46)</f>
        <v>0</v>
      </c>
      <c r="O46" s="544">
        <f>SUM(O36*C46)</f>
        <v>0</v>
      </c>
      <c r="P46" s="544">
        <f>SUM(P36*C46)</f>
        <v>0</v>
      </c>
      <c r="Q46" s="544">
        <f>SUM(Q36*C46)</f>
        <v>0</v>
      </c>
      <c r="R46" s="544">
        <f>SUM(R36*C46)</f>
        <v>0</v>
      </c>
      <c r="S46" s="544">
        <f>SUM(S36*C46)</f>
        <v>0</v>
      </c>
      <c r="T46" s="544">
        <f>SUM(T36*C46)</f>
        <v>0</v>
      </c>
      <c r="U46" s="544">
        <f>SUM(U36*C46)</f>
        <v>0</v>
      </c>
      <c r="V46" s="544">
        <f>SUM(V36*C46)</f>
        <v>0</v>
      </c>
      <c r="W46" s="544">
        <f>SUM(W36*C46)</f>
        <v>0</v>
      </c>
      <c r="X46" s="547">
        <f>SUM(X36*C46)</f>
        <v>0</v>
      </c>
      <c r="Y46" s="547">
        <f>SUM(Y36*C46)</f>
        <v>0</v>
      </c>
      <c r="Z46" s="547">
        <f>SUM(Z36*C46)</f>
        <v>0</v>
      </c>
      <c r="AA46" s="547">
        <f>SUM(AA36*C46)</f>
        <v>0</v>
      </c>
      <c r="AB46" s="547">
        <f>SUM(AB36*C46)</f>
        <v>0</v>
      </c>
    </row>
    <row r="47" spans="1:28" s="216" customFormat="1">
      <c r="A47" s="232"/>
      <c r="B47" s="232"/>
      <c r="C47" s="541">
        <f>SUM(C39:C46)</f>
        <v>1</v>
      </c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547"/>
      <c r="AA47" s="217"/>
      <c r="AB47" s="217"/>
    </row>
    <row r="48" spans="1:28" s="216" customFormat="1">
      <c r="A48" s="232"/>
      <c r="B48" s="232"/>
      <c r="C48" s="541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547"/>
      <c r="AA48" s="217"/>
      <c r="AB48" s="217"/>
    </row>
    <row r="49" spans="1:28" s="216" customFormat="1">
      <c r="A49" s="232"/>
      <c r="B49" s="232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</row>
    <row r="50" spans="1:28" s="216" customFormat="1" ht="25.5">
      <c r="A50" s="232" t="s">
        <v>521</v>
      </c>
      <c r="B50" s="232"/>
      <c r="C50" s="538">
        <v>400</v>
      </c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7"/>
      <c r="AA50" s="217"/>
      <c r="AB50" s="217"/>
    </row>
    <row r="51" spans="1:28" s="216" customFormat="1" ht="38.25">
      <c r="A51" s="232" t="s">
        <v>621</v>
      </c>
      <c r="B51" s="232"/>
      <c r="C51" s="538">
        <v>400</v>
      </c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  <c r="AB51" s="217"/>
    </row>
    <row r="52" spans="1:28" s="216" customFormat="1" ht="38.25">
      <c r="A52" s="232" t="s">
        <v>622</v>
      </c>
      <c r="B52" s="232"/>
      <c r="C52" s="549">
        <f>SUM(C50-C51)</f>
        <v>0</v>
      </c>
      <c r="D52" s="595" t="s">
        <v>634</v>
      </c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  <c r="AA52" s="217"/>
      <c r="AB52" s="217"/>
    </row>
    <row r="53" spans="1:28" s="216" customFormat="1" ht="28.5" customHeight="1">
      <c r="A53" s="232" t="s">
        <v>601</v>
      </c>
      <c r="B53" s="232"/>
      <c r="C53" s="537">
        <v>0.25</v>
      </c>
      <c r="D53" s="656" t="s">
        <v>623</v>
      </c>
      <c r="E53" s="656"/>
      <c r="F53" s="656"/>
      <c r="G53" s="656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  <c r="AA53" s="217"/>
      <c r="AB53" s="217"/>
    </row>
    <row r="54" spans="1:28" s="216" customFormat="1" ht="36" customHeight="1">
      <c r="A54" s="232" t="s">
        <v>522</v>
      </c>
      <c r="B54" s="232"/>
      <c r="C54" s="539">
        <v>0.5</v>
      </c>
      <c r="D54" s="656"/>
      <c r="E54" s="656"/>
      <c r="F54" s="656"/>
      <c r="G54" s="656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  <c r="AA54" s="217"/>
      <c r="AB54" s="217"/>
    </row>
    <row r="55" spans="1:28" s="216" customFormat="1" ht="25.5">
      <c r="A55" s="232" t="s">
        <v>587</v>
      </c>
      <c r="B55" s="232"/>
      <c r="C55" s="537">
        <v>0.5</v>
      </c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</row>
    <row r="56" spans="1:28" ht="25.5">
      <c r="A56" s="232" t="s">
        <v>588</v>
      </c>
      <c r="C56" s="560">
        <v>0.5</v>
      </c>
    </row>
    <row r="57" spans="1:28" ht="25.5">
      <c r="A57" s="232" t="s">
        <v>589</v>
      </c>
      <c r="C57" s="560">
        <v>0.5</v>
      </c>
    </row>
    <row r="58" spans="1:28" ht="32.25" customHeight="1">
      <c r="A58" s="232" t="s">
        <v>590</v>
      </c>
      <c r="C58" s="560">
        <v>0</v>
      </c>
    </row>
    <row r="59" spans="1:28" s="216" customFormat="1" ht="36" customHeight="1">
      <c r="A59" s="232"/>
      <c r="B59" s="232"/>
      <c r="C59" s="540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217"/>
      <c r="AB59" s="217"/>
    </row>
    <row r="60" spans="1:28" ht="25.5">
      <c r="A60" s="564" t="s">
        <v>595</v>
      </c>
    </row>
    <row r="61" spans="1:28" ht="25.5">
      <c r="A61" s="484" t="s">
        <v>485</v>
      </c>
      <c r="C61" s="593">
        <v>114.8</v>
      </c>
      <c r="D61" s="559" t="s">
        <v>635</v>
      </c>
    </row>
    <row r="62" spans="1:28" ht="25.5">
      <c r="A62" s="484" t="s">
        <v>486</v>
      </c>
      <c r="C62" s="593">
        <v>213.8</v>
      </c>
      <c r="D62" s="559" t="s">
        <v>635</v>
      </c>
    </row>
    <row r="63" spans="1:28" ht="25.5">
      <c r="A63" s="484" t="s">
        <v>487</v>
      </c>
      <c r="C63" s="593">
        <v>312.60000000000002</v>
      </c>
      <c r="D63" s="559" t="s">
        <v>635</v>
      </c>
    </row>
    <row r="64" spans="1:28" ht="25.5">
      <c r="A64" s="484" t="s">
        <v>488</v>
      </c>
      <c r="C64" s="593">
        <v>411</v>
      </c>
      <c r="D64" s="559" t="s">
        <v>635</v>
      </c>
    </row>
    <row r="65" spans="1:28" ht="25.5">
      <c r="A65" s="484" t="s">
        <v>489</v>
      </c>
      <c r="C65" s="593">
        <v>509</v>
      </c>
      <c r="D65" s="559" t="s">
        <v>635</v>
      </c>
    </row>
    <row r="66" spans="1:28" ht="25.5">
      <c r="A66" s="484" t="s">
        <v>596</v>
      </c>
      <c r="C66" s="593">
        <v>100</v>
      </c>
      <c r="D66" s="559" t="s">
        <v>635</v>
      </c>
    </row>
    <row r="67" spans="1:28" ht="25.5">
      <c r="A67" s="484" t="s">
        <v>597</v>
      </c>
      <c r="C67" s="593">
        <v>400</v>
      </c>
      <c r="D67" s="559" t="s">
        <v>635</v>
      </c>
    </row>
    <row r="68" spans="1:28" ht="16.5" customHeight="1">
      <c r="A68" s="484" t="s">
        <v>598</v>
      </c>
      <c r="C68" s="593">
        <v>1200</v>
      </c>
      <c r="D68" s="559" t="s">
        <v>635</v>
      </c>
    </row>
    <row r="69" spans="1:28" ht="26.25" customHeight="1">
      <c r="A69" s="232" t="s">
        <v>599</v>
      </c>
      <c r="C69" s="593">
        <v>0</v>
      </c>
      <c r="D69" s="559" t="s">
        <v>630</v>
      </c>
    </row>
    <row r="72" spans="1:28" s="216" customFormat="1" ht="20.100000000000001" customHeight="1">
      <c r="A72" s="652" t="s">
        <v>600</v>
      </c>
      <c r="B72" s="557"/>
      <c r="C72" s="654" t="s">
        <v>248</v>
      </c>
      <c r="D72" s="648" t="s">
        <v>249</v>
      </c>
      <c r="E72" s="648"/>
      <c r="F72" s="648"/>
      <c r="G72" s="648"/>
      <c r="H72" s="648" t="s">
        <v>250</v>
      </c>
      <c r="I72" s="648"/>
      <c r="J72" s="648"/>
      <c r="K72" s="648"/>
      <c r="L72" s="648" t="s">
        <v>251</v>
      </c>
      <c r="M72" s="648"/>
      <c r="N72" s="648"/>
      <c r="O72" s="648"/>
      <c r="P72" s="648" t="s">
        <v>252</v>
      </c>
      <c r="Q72" s="648"/>
      <c r="R72" s="648"/>
      <c r="S72" s="648"/>
      <c r="T72" s="648" t="s">
        <v>121</v>
      </c>
      <c r="U72" s="648"/>
      <c r="V72" s="648"/>
      <c r="W72" s="648"/>
      <c r="X72" s="649" t="s">
        <v>604</v>
      </c>
      <c r="Y72" s="650"/>
      <c r="Z72" s="650"/>
      <c r="AA72" s="650"/>
      <c r="AB72" s="651"/>
    </row>
    <row r="73" spans="1:28" s="216" customFormat="1" ht="34.5" customHeight="1">
      <c r="A73" s="653"/>
      <c r="B73" s="558"/>
      <c r="C73" s="655"/>
      <c r="D73" s="491" t="s">
        <v>122</v>
      </c>
      <c r="E73" s="491" t="s">
        <v>260</v>
      </c>
      <c r="F73" s="491" t="s">
        <v>261</v>
      </c>
      <c r="G73" s="491" t="s">
        <v>262</v>
      </c>
      <c r="H73" s="492" t="s">
        <v>122</v>
      </c>
      <c r="I73" s="491" t="s">
        <v>260</v>
      </c>
      <c r="J73" s="491" t="s">
        <v>261</v>
      </c>
      <c r="K73" s="491" t="s">
        <v>262</v>
      </c>
      <c r="L73" s="492" t="s">
        <v>122</v>
      </c>
      <c r="M73" s="491" t="s">
        <v>260</v>
      </c>
      <c r="N73" s="491" t="s">
        <v>261</v>
      </c>
      <c r="O73" s="491" t="s">
        <v>262</v>
      </c>
      <c r="P73" s="492" t="s">
        <v>122</v>
      </c>
      <c r="Q73" s="491" t="s">
        <v>260</v>
      </c>
      <c r="R73" s="491" t="s">
        <v>261</v>
      </c>
      <c r="S73" s="491" t="s">
        <v>262</v>
      </c>
      <c r="T73" s="492" t="s">
        <v>263</v>
      </c>
      <c r="U73" s="491" t="s">
        <v>260</v>
      </c>
      <c r="V73" s="491" t="s">
        <v>261</v>
      </c>
      <c r="W73" s="491" t="s">
        <v>262</v>
      </c>
      <c r="X73" s="546">
        <v>6</v>
      </c>
      <c r="Y73" s="546">
        <v>7</v>
      </c>
      <c r="Z73" s="546">
        <v>8</v>
      </c>
      <c r="AA73" s="546">
        <v>9</v>
      </c>
      <c r="AB73" s="546">
        <v>10</v>
      </c>
    </row>
    <row r="74" spans="1:28" s="216" customFormat="1" ht="38.25">
      <c r="A74" s="232" t="s">
        <v>480</v>
      </c>
      <c r="B74" s="232"/>
      <c r="C74" s="533" t="s">
        <v>586</v>
      </c>
      <c r="D74" s="544">
        <v>0</v>
      </c>
      <c r="E74" s="544">
        <v>0</v>
      </c>
      <c r="F74" s="544">
        <f>SUM(C85*C88/2)</f>
        <v>0.04</v>
      </c>
      <c r="G74" s="544">
        <f>SUM(C85*C88/2)</f>
        <v>0.04</v>
      </c>
      <c r="H74" s="544">
        <f>SUM(C85*(C89-C88)/4)</f>
        <v>0.105</v>
      </c>
      <c r="I74" s="544">
        <f>SUM(C85*(C89-C88)/4)</f>
        <v>0.105</v>
      </c>
      <c r="J74" s="544">
        <f>SUM(C85*(C89-C88)/4)</f>
        <v>0.105</v>
      </c>
      <c r="K74" s="544">
        <f>SUM(C85*(C89-C88)/4)</f>
        <v>0.105</v>
      </c>
      <c r="L74" s="544">
        <f>SUM(C85*(C90-C89)/4)</f>
        <v>1.2500000000000011E-2</v>
      </c>
      <c r="M74" s="544">
        <f>SUM(C85*(C90-C89)/4)</f>
        <v>1.2500000000000011E-2</v>
      </c>
      <c r="N74" s="544">
        <f>SUM(C85*(C90-C89)/4)</f>
        <v>1.2500000000000011E-2</v>
      </c>
      <c r="O74" s="544">
        <f>SUM(C85*(C90-C89)/4)</f>
        <v>1.2500000000000011E-2</v>
      </c>
      <c r="P74" s="544">
        <f>SUM(C85*(C91-C90)/4)</f>
        <v>1.2499999999999983E-2</v>
      </c>
      <c r="Q74" s="544">
        <f>SUM(C85*(C91-C90)/4)</f>
        <v>1.2499999999999983E-2</v>
      </c>
      <c r="R74" s="544">
        <f>SUM(C85*(C91-C90)/4)</f>
        <v>1.2499999999999983E-2</v>
      </c>
      <c r="S74" s="544">
        <f>SUM(C85*(C91-C90)/4)</f>
        <v>1.2499999999999983E-2</v>
      </c>
      <c r="T74" s="544">
        <f>SUM(C85*(C92-C91)/4)</f>
        <v>0</v>
      </c>
      <c r="U74" s="544">
        <f>SUM(C85*(C92-C91)/4)</f>
        <v>0</v>
      </c>
      <c r="V74" s="544">
        <f>SUM(C85*(C92-C91)/4)</f>
        <v>0</v>
      </c>
      <c r="W74" s="544">
        <f>SUM(C85*(C92-C91)/4)</f>
        <v>0</v>
      </c>
      <c r="X74" s="547">
        <f>SUM(W75*C93)</f>
        <v>1.7999999999999988E-2</v>
      </c>
      <c r="Y74" s="547">
        <f>SUM(X75*C93)</f>
        <v>1.8539999999999991E-2</v>
      </c>
      <c r="Z74" s="547">
        <f>SUM(Y75*C93)</f>
        <v>1.909619999999999E-2</v>
      </c>
      <c r="AA74" s="547">
        <f>SUM(Z75*C93)</f>
        <v>1.9669085999999988E-2</v>
      </c>
      <c r="AB74" s="547">
        <f>SUM(AA75*C93)</f>
        <v>2.0259158579999988E-2</v>
      </c>
    </row>
    <row r="75" spans="1:28" s="216" customFormat="1" ht="25.5">
      <c r="A75" s="232" t="s">
        <v>602</v>
      </c>
      <c r="B75" s="232"/>
      <c r="C75" s="533"/>
      <c r="D75" s="544">
        <f>SUM(D74)</f>
        <v>0</v>
      </c>
      <c r="E75" s="544">
        <f>SUM(D75+E74)</f>
        <v>0</v>
      </c>
      <c r="F75" s="544">
        <f t="shared" ref="F75" si="24">SUM(E75+F74)</f>
        <v>0.04</v>
      </c>
      <c r="G75" s="544">
        <f t="shared" ref="G75" si="25">SUM(F75+G74)</f>
        <v>0.08</v>
      </c>
      <c r="H75" s="544">
        <f t="shared" ref="H75" si="26">SUM(G75+H74)</f>
        <v>0.185</v>
      </c>
      <c r="I75" s="544">
        <f t="shared" ref="I75" si="27">SUM(H75+I74)</f>
        <v>0.28999999999999998</v>
      </c>
      <c r="J75" s="544">
        <f t="shared" ref="J75" si="28">SUM(I75+J74)</f>
        <v>0.39499999999999996</v>
      </c>
      <c r="K75" s="544">
        <f t="shared" ref="K75" si="29">SUM(J75+K74)</f>
        <v>0.49999999999999994</v>
      </c>
      <c r="L75" s="544">
        <f t="shared" ref="L75" si="30">SUM(K75+L74)</f>
        <v>0.51249999999999996</v>
      </c>
      <c r="M75" s="544">
        <f t="shared" ref="M75" si="31">SUM(L75+M74)</f>
        <v>0.52499999999999991</v>
      </c>
      <c r="N75" s="544">
        <f t="shared" ref="N75" si="32">SUM(M75+N74)</f>
        <v>0.53749999999999987</v>
      </c>
      <c r="O75" s="544">
        <f t="shared" ref="O75" si="33">SUM(N75+O74)</f>
        <v>0.54999999999999982</v>
      </c>
      <c r="P75" s="544">
        <f t="shared" ref="P75" si="34">SUM(O75+P74)</f>
        <v>0.56249999999999978</v>
      </c>
      <c r="Q75" s="544">
        <f t="shared" ref="Q75" si="35">SUM(P75+Q74)</f>
        <v>0.57499999999999973</v>
      </c>
      <c r="R75" s="544">
        <f t="shared" ref="R75" si="36">SUM(Q75+R74)</f>
        <v>0.58749999999999969</v>
      </c>
      <c r="S75" s="544">
        <f t="shared" ref="S75" si="37">SUM(R75+S74)</f>
        <v>0.59999999999999964</v>
      </c>
      <c r="T75" s="544">
        <f t="shared" ref="T75" si="38">SUM(S75+T74)</f>
        <v>0.59999999999999964</v>
      </c>
      <c r="U75" s="544">
        <f t="shared" ref="U75" si="39">SUM(T75+U74)</f>
        <v>0.59999999999999964</v>
      </c>
      <c r="V75" s="544">
        <f t="shared" ref="V75" si="40">SUM(U75+V74)</f>
        <v>0.59999999999999964</v>
      </c>
      <c r="W75" s="544">
        <f t="shared" ref="W75" si="41">SUM(V75+W74)</f>
        <v>0.59999999999999964</v>
      </c>
      <c r="X75" s="547">
        <f t="shared" ref="X75" si="42">SUM(W75+X74)</f>
        <v>0.61799999999999966</v>
      </c>
      <c r="Y75" s="547">
        <f t="shared" ref="Y75" si="43">SUM(X75+Y74)</f>
        <v>0.63653999999999966</v>
      </c>
      <c r="Z75" s="547">
        <f t="shared" ref="Z75" si="44">SUM(Y75+Z74)</f>
        <v>0.65563619999999967</v>
      </c>
      <c r="AA75" s="547">
        <f t="shared" ref="AA75" si="45">SUM(Z75+AA74)</f>
        <v>0.67530528599999962</v>
      </c>
      <c r="AB75" s="547">
        <f t="shared" ref="AB75" si="46">SUM(AA75+AB74)</f>
        <v>0.69556444457999955</v>
      </c>
    </row>
    <row r="76" spans="1:28" s="488" customFormat="1" ht="25.5">
      <c r="A76" s="542" t="s">
        <v>603</v>
      </c>
      <c r="B76" s="542"/>
      <c r="C76" s="543"/>
      <c r="D76" s="540">
        <f>SUM(D75/C85)</f>
        <v>0</v>
      </c>
      <c r="E76" s="540">
        <f>SUM(E75/C85)</f>
        <v>0</v>
      </c>
      <c r="F76" s="540">
        <f>SUM(F75/C85)</f>
        <v>0.04</v>
      </c>
      <c r="G76" s="540">
        <f>SUM(G75/C85)</f>
        <v>0.08</v>
      </c>
      <c r="H76" s="540">
        <f>SUM(H75/C85)</f>
        <v>0.185</v>
      </c>
      <c r="I76" s="540">
        <f>SUM(I75/C85)</f>
        <v>0.28999999999999998</v>
      </c>
      <c r="J76" s="540">
        <f>SUM(J75/C85)</f>
        <v>0.39499999999999996</v>
      </c>
      <c r="K76" s="540">
        <f>SUM(K75/C85)</f>
        <v>0.49999999999999994</v>
      </c>
      <c r="L76" s="540">
        <f>SUM(L75/C85)</f>
        <v>0.51249999999999996</v>
      </c>
      <c r="M76" s="540">
        <f>SUM(M75/C85)</f>
        <v>0.52499999999999991</v>
      </c>
      <c r="N76" s="540">
        <f>SUM(N75/C85)</f>
        <v>0.53749999999999987</v>
      </c>
      <c r="O76" s="540">
        <f>SUM(O75/C85)</f>
        <v>0.54999999999999982</v>
      </c>
      <c r="P76" s="540">
        <f>SUM(P75/C85)</f>
        <v>0.56249999999999978</v>
      </c>
      <c r="Q76" s="540">
        <f>SUM(Q75/C85)</f>
        <v>0.57499999999999973</v>
      </c>
      <c r="R76" s="540">
        <f>SUM(R75/C85)</f>
        <v>0.58749999999999969</v>
      </c>
      <c r="S76" s="540">
        <f>SUM(S75/C85)</f>
        <v>0.59999999999999964</v>
      </c>
      <c r="T76" s="540">
        <f>SUM(T75/C85)</f>
        <v>0.59999999999999964</v>
      </c>
      <c r="U76" s="540">
        <f>SUM(U75/C85)</f>
        <v>0.59999999999999964</v>
      </c>
      <c r="V76" s="540">
        <f>SUM(V75/C85)</f>
        <v>0.59999999999999964</v>
      </c>
      <c r="W76" s="540">
        <f>SUM(W75/C85)</f>
        <v>0.59999999999999964</v>
      </c>
      <c r="X76" s="548">
        <f>SUM(X75/C85)</f>
        <v>0.61799999999999966</v>
      </c>
      <c r="Y76" s="548">
        <f>SUM(Y75/C85)</f>
        <v>0.63653999999999966</v>
      </c>
      <c r="Z76" s="548">
        <f>SUM(Z75/C85)</f>
        <v>0.65563619999999967</v>
      </c>
      <c r="AA76" s="548">
        <f>SUM(AA75/C85)</f>
        <v>0.67530528599999962</v>
      </c>
      <c r="AB76" s="548">
        <f>SUM(AB75/C85)</f>
        <v>0.69556444457999955</v>
      </c>
    </row>
    <row r="77" spans="1:28" s="216" customFormat="1" ht="51">
      <c r="A77" s="565" t="s">
        <v>335</v>
      </c>
      <c r="B77" s="232"/>
      <c r="C77" s="537">
        <v>0.73</v>
      </c>
      <c r="D77" s="544">
        <f>SUM(D74*C77)</f>
        <v>0</v>
      </c>
      <c r="E77" s="544">
        <f>SUM(E74*C77)</f>
        <v>0</v>
      </c>
      <c r="F77" s="544">
        <f>SUM(F74*C77)</f>
        <v>2.92E-2</v>
      </c>
      <c r="G77" s="544">
        <f>SUM(G74*C77)</f>
        <v>2.92E-2</v>
      </c>
      <c r="H77" s="544">
        <f>SUM(H74*C77)</f>
        <v>7.6649999999999996E-2</v>
      </c>
      <c r="I77" s="544">
        <f>SUM(I74*C77)</f>
        <v>7.6649999999999996E-2</v>
      </c>
      <c r="J77" s="544">
        <f>SUM(J74*C77)</f>
        <v>7.6649999999999996E-2</v>
      </c>
      <c r="K77" s="544">
        <f>SUM(K74*C77)</f>
        <v>7.6649999999999996E-2</v>
      </c>
      <c r="L77" s="544">
        <f>SUM(L74*C77)</f>
        <v>9.1250000000000081E-3</v>
      </c>
      <c r="M77" s="544">
        <f>SUM(M74*C77)</f>
        <v>9.1250000000000081E-3</v>
      </c>
      <c r="N77" s="544">
        <f>SUM(N74*C77)</f>
        <v>9.1250000000000081E-3</v>
      </c>
      <c r="O77" s="544">
        <f>SUM(O74*C77)</f>
        <v>9.1250000000000081E-3</v>
      </c>
      <c r="P77" s="544">
        <f>SUM(P74*C77)</f>
        <v>9.1249999999999873E-3</v>
      </c>
      <c r="Q77" s="544">
        <f>SUM(Q74*C77)</f>
        <v>9.1249999999999873E-3</v>
      </c>
      <c r="R77" s="544">
        <f>SUM(R74*C77)</f>
        <v>9.1249999999999873E-3</v>
      </c>
      <c r="S77" s="544">
        <f>SUM(S74*C77)</f>
        <v>9.1249999999999873E-3</v>
      </c>
      <c r="T77" s="544">
        <f>SUM(T74*C77)</f>
        <v>0</v>
      </c>
      <c r="U77" s="544">
        <f>SUM(U74*C77)</f>
        <v>0</v>
      </c>
      <c r="V77" s="544">
        <f>SUM(V74*C77)</f>
        <v>0</v>
      </c>
      <c r="W77" s="544">
        <f>SUM(W74*C77)</f>
        <v>0</v>
      </c>
      <c r="X77" s="547">
        <f>SUM(X74*C77)</f>
        <v>1.313999999999999E-2</v>
      </c>
      <c r="Y77" s="547">
        <f>SUM(Y74*C77)</f>
        <v>1.3534199999999993E-2</v>
      </c>
      <c r="Z77" s="547">
        <f>SUM(Z74*C77)</f>
        <v>1.3940225999999993E-2</v>
      </c>
      <c r="AA77" s="547">
        <f>SUM(AA74*C77)</f>
        <v>1.4358432779999991E-2</v>
      </c>
      <c r="AB77" s="547">
        <f>SUM(AB74*C77)</f>
        <v>1.4789185763399991E-2</v>
      </c>
    </row>
    <row r="78" spans="1:28" s="216" customFormat="1" ht="51">
      <c r="A78" s="565" t="s">
        <v>338</v>
      </c>
      <c r="B78" s="232"/>
      <c r="C78" s="537">
        <v>0.25</v>
      </c>
      <c r="D78" s="544">
        <f>SUM(D74*C78)</f>
        <v>0</v>
      </c>
      <c r="E78" s="544">
        <f>SUM(E74*C78)</f>
        <v>0</v>
      </c>
      <c r="F78" s="544">
        <f>SUM(F74*C78)</f>
        <v>0.01</v>
      </c>
      <c r="G78" s="544">
        <f>SUM(G74*C78)</f>
        <v>0.01</v>
      </c>
      <c r="H78" s="544">
        <f>SUM(H74*C78)</f>
        <v>2.6249999999999999E-2</v>
      </c>
      <c r="I78" s="544">
        <f>SUM(I74*C78)</f>
        <v>2.6249999999999999E-2</v>
      </c>
      <c r="J78" s="544">
        <f>SUM(J74*C78)</f>
        <v>2.6249999999999999E-2</v>
      </c>
      <c r="K78" s="544">
        <f>SUM(K74*C78)</f>
        <v>2.6249999999999999E-2</v>
      </c>
      <c r="L78" s="544">
        <f>SUM(L74*C78)</f>
        <v>3.1250000000000028E-3</v>
      </c>
      <c r="M78" s="544">
        <f>SUM(M74*C78)</f>
        <v>3.1250000000000028E-3</v>
      </c>
      <c r="N78" s="544">
        <f>SUM(N74*C78)</f>
        <v>3.1250000000000028E-3</v>
      </c>
      <c r="O78" s="544">
        <f>SUM(O74*C78)</f>
        <v>3.1250000000000028E-3</v>
      </c>
      <c r="P78" s="544">
        <f>SUM(P74*C78)</f>
        <v>3.1249999999999958E-3</v>
      </c>
      <c r="Q78" s="544">
        <f>SUM(Q74*C78)</f>
        <v>3.1249999999999958E-3</v>
      </c>
      <c r="R78" s="544">
        <f>SUM(R74*C78)</f>
        <v>3.1249999999999958E-3</v>
      </c>
      <c r="S78" s="544">
        <f>SUM(S74*C78)</f>
        <v>3.1249999999999958E-3</v>
      </c>
      <c r="T78" s="544">
        <f>SUM(T74*C78)</f>
        <v>0</v>
      </c>
      <c r="U78" s="544">
        <f>SUM(U74*C78)</f>
        <v>0</v>
      </c>
      <c r="V78" s="544">
        <f>SUM(V74*C78)</f>
        <v>0</v>
      </c>
      <c r="W78" s="544">
        <f>SUM(W74*C78)</f>
        <v>0</v>
      </c>
      <c r="X78" s="547">
        <f>SUM(X74*C78)</f>
        <v>4.4999999999999971E-3</v>
      </c>
      <c r="Y78" s="547">
        <f>SUM(Y74*C78)</f>
        <v>4.6349999999999976E-3</v>
      </c>
      <c r="Z78" s="547">
        <f>SUM(Z74*C78)</f>
        <v>4.7740499999999976E-3</v>
      </c>
      <c r="AA78" s="547">
        <f>SUM(AA74*C78)</f>
        <v>4.9172714999999971E-3</v>
      </c>
      <c r="AB78" s="547">
        <f>SUM(AB74*C78)</f>
        <v>5.0647896449999971E-3</v>
      </c>
    </row>
    <row r="79" spans="1:28" s="216" customFormat="1" ht="63.75">
      <c r="A79" s="565" t="s">
        <v>339</v>
      </c>
      <c r="B79" s="232"/>
      <c r="C79" s="537">
        <v>0.01</v>
      </c>
      <c r="D79" s="544">
        <f>SUM(D74*C79)</f>
        <v>0</v>
      </c>
      <c r="E79" s="544">
        <f>SUM(E74*C79)</f>
        <v>0</v>
      </c>
      <c r="F79" s="544">
        <f>SUM(F74*C79)</f>
        <v>4.0000000000000002E-4</v>
      </c>
      <c r="G79" s="544">
        <f>SUM(G74*C79)</f>
        <v>4.0000000000000002E-4</v>
      </c>
      <c r="H79" s="544">
        <f>SUM(H74*C79)</f>
        <v>1.0499999999999999E-3</v>
      </c>
      <c r="I79" s="544">
        <f>SUM(I74*C79)</f>
        <v>1.0499999999999999E-3</v>
      </c>
      <c r="J79" s="544">
        <f>SUM(J74*C79)</f>
        <v>1.0499999999999999E-3</v>
      </c>
      <c r="K79" s="544">
        <f>SUM(K74*C79)</f>
        <v>1.0499999999999999E-3</v>
      </c>
      <c r="L79" s="544">
        <f>SUM(L74*C79)</f>
        <v>1.2500000000000011E-4</v>
      </c>
      <c r="M79" s="544">
        <f>SUM(M74*C79)</f>
        <v>1.2500000000000011E-4</v>
      </c>
      <c r="N79" s="544">
        <f>SUM(N74*C79)</f>
        <v>1.2500000000000011E-4</v>
      </c>
      <c r="O79" s="544">
        <f>SUM(O74*C79)</f>
        <v>1.2500000000000011E-4</v>
      </c>
      <c r="P79" s="544">
        <f>SUM(P74*C79)</f>
        <v>1.2499999999999984E-4</v>
      </c>
      <c r="Q79" s="544">
        <f>SUM(Q74*C79)</f>
        <v>1.2499999999999984E-4</v>
      </c>
      <c r="R79" s="544">
        <f>SUM(R74*C79)</f>
        <v>1.2499999999999984E-4</v>
      </c>
      <c r="S79" s="544">
        <f>SUM(S74*C79)</f>
        <v>1.2499999999999984E-4</v>
      </c>
      <c r="T79" s="544">
        <f>SUM(T74*C79)</f>
        <v>0</v>
      </c>
      <c r="U79" s="544">
        <f>SUM(U74*C79)</f>
        <v>0</v>
      </c>
      <c r="V79" s="544">
        <f>SUM(V74*C79)</f>
        <v>0</v>
      </c>
      <c r="W79" s="544">
        <f>SUM(W74*C79)</f>
        <v>0</v>
      </c>
      <c r="X79" s="547">
        <f>SUM(X74*C79)</f>
        <v>1.7999999999999988E-4</v>
      </c>
      <c r="Y79" s="547">
        <f>SUM(Y74*C79)</f>
        <v>1.853999999999999E-4</v>
      </c>
      <c r="Z79" s="547">
        <f>SUM(Z74*C79)</f>
        <v>1.909619999999999E-4</v>
      </c>
      <c r="AA79" s="547">
        <f>SUM(AA74*C79)</f>
        <v>1.9669085999999989E-4</v>
      </c>
      <c r="AB79" s="547">
        <f>SUM(AB74*C79)</f>
        <v>2.0259158579999988E-4</v>
      </c>
    </row>
    <row r="80" spans="1:28" s="553" customFormat="1" ht="89.25">
      <c r="A80" s="565" t="s">
        <v>474</v>
      </c>
      <c r="B80" s="552"/>
      <c r="C80" s="537">
        <v>0.01</v>
      </c>
      <c r="D80" s="547">
        <f>SUM(D74*C80)</f>
        <v>0</v>
      </c>
      <c r="E80" s="547">
        <f>SUM(E74*C80)</f>
        <v>0</v>
      </c>
      <c r="F80" s="547">
        <f>SUM(F74*C80)</f>
        <v>4.0000000000000002E-4</v>
      </c>
      <c r="G80" s="547">
        <f>SUM(G74*C80)</f>
        <v>4.0000000000000002E-4</v>
      </c>
      <c r="H80" s="547">
        <f>SUM(H74*C80)</f>
        <v>1.0499999999999999E-3</v>
      </c>
      <c r="I80" s="547">
        <f>SUM(I74*C80)</f>
        <v>1.0499999999999999E-3</v>
      </c>
      <c r="J80" s="547">
        <f>SUM(J74*C80)</f>
        <v>1.0499999999999999E-3</v>
      </c>
      <c r="K80" s="547">
        <f>SUM(K74*C80)</f>
        <v>1.0499999999999999E-3</v>
      </c>
      <c r="L80" s="547">
        <f>SUM(L74*C80)</f>
        <v>1.2500000000000011E-4</v>
      </c>
      <c r="M80" s="547">
        <f>SUM(M74*C80)</f>
        <v>1.2500000000000011E-4</v>
      </c>
      <c r="N80" s="547">
        <f>SUM(N74*C80)</f>
        <v>1.2500000000000011E-4</v>
      </c>
      <c r="O80" s="547">
        <f>SUM(O74*C80)</f>
        <v>1.2500000000000011E-4</v>
      </c>
      <c r="P80" s="547">
        <f>SUM(P74*C80)</f>
        <v>1.2499999999999984E-4</v>
      </c>
      <c r="Q80" s="547">
        <f>SUM(Q74*C80)</f>
        <v>1.2499999999999984E-4</v>
      </c>
      <c r="R80" s="547">
        <f>SUM(R74*C80)</f>
        <v>1.2499999999999984E-4</v>
      </c>
      <c r="S80" s="547">
        <f>SUM(S74*C80)</f>
        <v>1.2499999999999984E-4</v>
      </c>
      <c r="T80" s="547">
        <f>SUM(T74*C80)</f>
        <v>0</v>
      </c>
      <c r="U80" s="547">
        <f>SUM(U74*C80)</f>
        <v>0</v>
      </c>
      <c r="V80" s="547">
        <f>SUM(V74*C80)</f>
        <v>0</v>
      </c>
      <c r="W80" s="547">
        <f>SUM(W74*C80)</f>
        <v>0</v>
      </c>
      <c r="X80" s="547">
        <f>SUM(X74*C80)</f>
        <v>1.7999999999999988E-4</v>
      </c>
      <c r="Y80" s="547">
        <f>SUM(Y74*C80)</f>
        <v>1.853999999999999E-4</v>
      </c>
      <c r="Z80" s="547">
        <f>SUM(Z74*C80)</f>
        <v>1.909619999999999E-4</v>
      </c>
      <c r="AA80" s="547">
        <f>SUM(AA74*C80)</f>
        <v>1.9669085999999989E-4</v>
      </c>
      <c r="AB80" s="547">
        <f>SUM(AB74*C80)</f>
        <v>2.0259158579999988E-4</v>
      </c>
    </row>
    <row r="81" spans="1:28" s="216" customFormat="1" ht="63.75">
      <c r="A81" s="565" t="s">
        <v>231</v>
      </c>
      <c r="B81" s="232"/>
      <c r="C81" s="555"/>
      <c r="D81" s="544">
        <f>SUM(D74*C81)</f>
        <v>0</v>
      </c>
      <c r="E81" s="544">
        <f>SUM(E74*C81)</f>
        <v>0</v>
      </c>
      <c r="F81" s="544">
        <f>SUM(F74*C81)</f>
        <v>0</v>
      </c>
      <c r="G81" s="544">
        <f>SUM(G74*C81)</f>
        <v>0</v>
      </c>
      <c r="H81" s="544">
        <f>SUM(H74*C81)</f>
        <v>0</v>
      </c>
      <c r="I81" s="544">
        <f>SUM(I74*C81)</f>
        <v>0</v>
      </c>
      <c r="J81" s="544">
        <f>SUM(J74*C81)</f>
        <v>0</v>
      </c>
      <c r="K81" s="544">
        <f>SUM(K74*C81)</f>
        <v>0</v>
      </c>
      <c r="L81" s="544">
        <f>SUM(L74*C81)</f>
        <v>0</v>
      </c>
      <c r="M81" s="544">
        <f>SUM(M74*C81)</f>
        <v>0</v>
      </c>
      <c r="N81" s="544">
        <f>SUM(N74*C81)</f>
        <v>0</v>
      </c>
      <c r="O81" s="544">
        <f>SUM(O74*C81)</f>
        <v>0</v>
      </c>
      <c r="P81" s="544">
        <f>SUM(P74*C81)</f>
        <v>0</v>
      </c>
      <c r="Q81" s="544">
        <f>SUM(Q74*C81)</f>
        <v>0</v>
      </c>
      <c r="R81" s="544">
        <f>SUM(R74*C81)</f>
        <v>0</v>
      </c>
      <c r="S81" s="544">
        <f>SUM(S74*C81)</f>
        <v>0</v>
      </c>
      <c r="T81" s="544">
        <f>SUM(T74*C81)</f>
        <v>0</v>
      </c>
      <c r="U81" s="544">
        <f>SUM(U74*C81)</f>
        <v>0</v>
      </c>
      <c r="V81" s="544">
        <f>SUM(V74*C81)</f>
        <v>0</v>
      </c>
      <c r="W81" s="544">
        <f>SUM(W74*C81)</f>
        <v>0</v>
      </c>
      <c r="X81" s="547">
        <f>SUM(X74*C81)</f>
        <v>0</v>
      </c>
      <c r="Y81" s="547">
        <f>SUM(Y74*C81)</f>
        <v>0</v>
      </c>
      <c r="Z81" s="547">
        <f>SUM(Z74*C81)</f>
        <v>0</v>
      </c>
      <c r="AA81" s="547">
        <f>SUM(AA74*C81)</f>
        <v>0</v>
      </c>
      <c r="AB81" s="547">
        <f>SUM(AB74*C81)</f>
        <v>0</v>
      </c>
    </row>
    <row r="82" spans="1:28" s="216" customFormat="1">
      <c r="A82" s="232"/>
      <c r="B82" s="232"/>
      <c r="C82" s="541">
        <f>SUM(C77:C81)</f>
        <v>1</v>
      </c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7"/>
      <c r="Y82" s="217"/>
      <c r="Z82" s="547"/>
      <c r="AA82" s="217"/>
      <c r="AB82" s="217"/>
    </row>
    <row r="83" spans="1:28" s="216" customFormat="1">
      <c r="A83" s="232"/>
      <c r="B83" s="232"/>
      <c r="C83" s="541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17"/>
      <c r="Y83" s="217"/>
      <c r="Z83" s="547"/>
      <c r="AA83" s="217"/>
      <c r="AB83" s="217"/>
    </row>
    <row r="84" spans="1:28" s="216" customFormat="1">
      <c r="A84" s="232"/>
      <c r="B84" s="232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7"/>
      <c r="AB84" s="217"/>
    </row>
    <row r="85" spans="1:28" s="216" customFormat="1" ht="25.5">
      <c r="A85" s="232" t="s">
        <v>521</v>
      </c>
      <c r="B85" s="232"/>
      <c r="C85" s="538">
        <v>1</v>
      </c>
      <c r="D85" s="217"/>
      <c r="E85" s="217"/>
      <c r="F85" s="217"/>
      <c r="G85" s="217"/>
      <c r="H85" s="217"/>
      <c r="I85" s="217"/>
      <c r="J85" s="217"/>
      <c r="K85" s="217"/>
      <c r="L85" s="217"/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</row>
    <row r="86" spans="1:28" s="216" customFormat="1" ht="38.25">
      <c r="A86" s="232" t="s">
        <v>621</v>
      </c>
      <c r="B86" s="232"/>
      <c r="C86" s="538">
        <v>1</v>
      </c>
      <c r="D86" s="217"/>
      <c r="E86" s="217"/>
      <c r="F86" s="217"/>
      <c r="G86" s="217"/>
      <c r="H86" s="217"/>
      <c r="I86" s="217"/>
      <c r="J86" s="217"/>
      <c r="K86" s="217"/>
      <c r="L86" s="217"/>
      <c r="M86" s="217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17"/>
      <c r="Y86" s="217"/>
      <c r="Z86" s="217"/>
      <c r="AA86" s="217"/>
      <c r="AB86" s="217"/>
    </row>
    <row r="87" spans="1:28" s="216" customFormat="1" ht="38.25" customHeight="1">
      <c r="A87" s="232" t="s">
        <v>622</v>
      </c>
      <c r="B87" s="232"/>
      <c r="C87" s="549">
        <f>SUM(C85-C86)</f>
        <v>0</v>
      </c>
      <c r="D87" s="216" t="s">
        <v>634</v>
      </c>
      <c r="E87" s="591"/>
      <c r="F87" s="591"/>
      <c r="G87" s="591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17"/>
      <c r="Y87" s="217"/>
      <c r="Z87" s="217"/>
      <c r="AA87" s="217"/>
      <c r="AB87" s="217"/>
    </row>
    <row r="88" spans="1:28" s="216" customFormat="1" ht="28.5" customHeight="1">
      <c r="A88" s="232" t="s">
        <v>601</v>
      </c>
      <c r="B88" s="232"/>
      <c r="C88" s="537">
        <v>0.08</v>
      </c>
      <c r="D88" s="656" t="s">
        <v>623</v>
      </c>
      <c r="E88" s="656"/>
      <c r="F88" s="656"/>
      <c r="G88" s="656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</row>
    <row r="89" spans="1:28" s="216" customFormat="1" ht="36" customHeight="1">
      <c r="A89" s="232" t="s">
        <v>522</v>
      </c>
      <c r="B89" s="232"/>
      <c r="C89" s="539">
        <v>0.5</v>
      </c>
      <c r="D89" s="656"/>
      <c r="E89" s="656"/>
      <c r="F89" s="656"/>
      <c r="G89" s="656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17"/>
      <c r="S89" s="217"/>
      <c r="T89" s="217"/>
      <c r="U89" s="217"/>
      <c r="V89" s="217"/>
      <c r="W89" s="217"/>
      <c r="X89" s="217"/>
      <c r="Y89" s="217"/>
      <c r="Z89" s="217"/>
      <c r="AA89" s="217"/>
      <c r="AB89" s="217"/>
    </row>
    <row r="90" spans="1:28" s="216" customFormat="1" ht="25.5">
      <c r="A90" s="232" t="s">
        <v>587</v>
      </c>
      <c r="B90" s="232"/>
      <c r="C90" s="537">
        <v>0.55000000000000004</v>
      </c>
      <c r="D90" s="217"/>
      <c r="E90" s="217"/>
      <c r="F90" s="217"/>
      <c r="G90" s="217"/>
      <c r="H90" s="217"/>
      <c r="I90" s="217"/>
      <c r="J90" s="217"/>
      <c r="K90" s="217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7"/>
      <c r="Y90" s="217"/>
      <c r="Z90" s="217"/>
      <c r="AA90" s="217"/>
      <c r="AB90" s="217"/>
    </row>
    <row r="91" spans="1:28" ht="25.5">
      <c r="A91" s="232" t="s">
        <v>588</v>
      </c>
      <c r="C91" s="560">
        <v>0.6</v>
      </c>
    </row>
    <row r="92" spans="1:28" ht="25.5">
      <c r="A92" s="232" t="s">
        <v>589</v>
      </c>
      <c r="C92" s="560">
        <v>0.6</v>
      </c>
    </row>
    <row r="93" spans="1:28" ht="32.25" customHeight="1">
      <c r="A93" s="232" t="s">
        <v>590</v>
      </c>
      <c r="C93" s="560">
        <v>0.03</v>
      </c>
    </row>
    <row r="96" spans="1:28" ht="24" customHeight="1">
      <c r="A96" s="564" t="s">
        <v>357</v>
      </c>
    </row>
    <row r="97" spans="1:4" ht="51">
      <c r="A97" s="565" t="s">
        <v>335</v>
      </c>
      <c r="C97" s="593">
        <v>19.989999999999998</v>
      </c>
      <c r="D97" s="559" t="s">
        <v>633</v>
      </c>
    </row>
    <row r="98" spans="1:4" ht="51">
      <c r="A98" s="565" t="s">
        <v>338</v>
      </c>
      <c r="C98" s="593">
        <v>99.99</v>
      </c>
      <c r="D98" s="559" t="s">
        <v>633</v>
      </c>
    </row>
    <row r="99" spans="1:4" ht="63.75">
      <c r="A99" s="565" t="s">
        <v>339</v>
      </c>
      <c r="C99" s="593">
        <v>1200</v>
      </c>
      <c r="D99" s="559" t="s">
        <v>633</v>
      </c>
    </row>
    <row r="100" spans="1:4" ht="89.25">
      <c r="A100" s="565" t="s">
        <v>474</v>
      </c>
      <c r="C100" s="593">
        <v>1600</v>
      </c>
      <c r="D100" s="559" t="s">
        <v>633</v>
      </c>
    </row>
    <row r="101" spans="1:4" ht="63.75">
      <c r="A101" s="565" t="s">
        <v>231</v>
      </c>
      <c r="C101" s="593">
        <v>3600</v>
      </c>
      <c r="D101" s="559" t="s">
        <v>633</v>
      </c>
    </row>
    <row r="102" spans="1:4" ht="32.25" customHeight="1">
      <c r="A102" s="232" t="s">
        <v>599</v>
      </c>
      <c r="C102" s="584">
        <v>500</v>
      </c>
      <c r="D102" s="559" t="s">
        <v>630</v>
      </c>
    </row>
    <row r="103" spans="1:4" ht="18" customHeight="1">
      <c r="A103" s="232"/>
    </row>
    <row r="104" spans="1:4" ht="18.75" customHeight="1">
      <c r="A104" s="232"/>
    </row>
    <row r="105" spans="1:4" ht="27" customHeight="1">
      <c r="A105" s="587" t="s">
        <v>619</v>
      </c>
    </row>
    <row r="106" spans="1:4" ht="35.25" customHeight="1">
      <c r="A106" s="232" t="s">
        <v>613</v>
      </c>
      <c r="C106" s="584">
        <v>1500</v>
      </c>
      <c r="D106" s="559" t="s">
        <v>632</v>
      </c>
    </row>
    <row r="107" spans="1:4" ht="27.75" customHeight="1">
      <c r="A107" s="232" t="s">
        <v>614</v>
      </c>
      <c r="C107" s="560">
        <v>0.3</v>
      </c>
      <c r="D107" s="559" t="s">
        <v>632</v>
      </c>
    </row>
    <row r="108" spans="1:4" ht="65.25" customHeight="1">
      <c r="A108" s="232" t="s">
        <v>620</v>
      </c>
      <c r="C108" s="584">
        <v>201</v>
      </c>
      <c r="D108" s="559" t="s">
        <v>632</v>
      </c>
    </row>
    <row r="109" spans="1:4" ht="32.25" customHeight="1">
      <c r="A109" s="232" t="s">
        <v>615</v>
      </c>
      <c r="C109" s="584">
        <v>250</v>
      </c>
      <c r="D109" s="559" t="s">
        <v>632</v>
      </c>
    </row>
    <row r="110" spans="1:4" ht="32.25" customHeight="1">
      <c r="A110" s="232" t="s">
        <v>616</v>
      </c>
      <c r="C110" s="584">
        <v>250</v>
      </c>
      <c r="D110" s="559" t="s">
        <v>632</v>
      </c>
    </row>
    <row r="111" spans="1:4" ht="32.25" customHeight="1">
      <c r="A111" s="232" t="s">
        <v>343</v>
      </c>
      <c r="C111" s="584">
        <v>750</v>
      </c>
      <c r="D111" s="559" t="s">
        <v>632</v>
      </c>
    </row>
    <row r="112" spans="1:4">
      <c r="A112" s="559" t="s">
        <v>617</v>
      </c>
      <c r="C112" s="584">
        <v>389</v>
      </c>
      <c r="D112" s="559" t="s">
        <v>632</v>
      </c>
    </row>
    <row r="113" spans="1:11">
      <c r="A113" s="559" t="s">
        <v>618</v>
      </c>
      <c r="C113" s="584">
        <v>389</v>
      </c>
      <c r="D113" s="559" t="s">
        <v>632</v>
      </c>
    </row>
    <row r="114" spans="1:11">
      <c r="C114" s="605" t="s">
        <v>527</v>
      </c>
      <c r="D114" s="559">
        <v>3</v>
      </c>
      <c r="E114" s="559">
        <v>4</v>
      </c>
      <c r="F114" s="559">
        <v>5</v>
      </c>
      <c r="G114" s="559">
        <v>6</v>
      </c>
      <c r="H114" s="559">
        <v>7</v>
      </c>
      <c r="I114" s="559">
        <v>8</v>
      </c>
      <c r="J114" s="559">
        <v>9</v>
      </c>
    </row>
    <row r="115" spans="1:11">
      <c r="A115" s="559" t="s">
        <v>644</v>
      </c>
      <c r="D115" s="606">
        <v>0</v>
      </c>
      <c r="E115" s="606">
        <v>0</v>
      </c>
      <c r="F115" s="606">
        <v>0</v>
      </c>
      <c r="G115" s="606">
        <v>0</v>
      </c>
      <c r="H115" s="606">
        <v>0</v>
      </c>
      <c r="I115" s="606">
        <v>0</v>
      </c>
      <c r="J115" s="606">
        <v>0</v>
      </c>
      <c r="K115" s="559" t="s">
        <v>645</v>
      </c>
    </row>
    <row r="117" spans="1:11">
      <c r="A117" s="588" t="s">
        <v>608</v>
      </c>
    </row>
    <row r="118" spans="1:11" ht="25.5">
      <c r="A118" s="589" t="s">
        <v>609</v>
      </c>
      <c r="C118" s="584">
        <v>40</v>
      </c>
      <c r="D118" s="559" t="s">
        <v>631</v>
      </c>
    </row>
    <row r="119" spans="1:11" ht="25.5">
      <c r="A119" s="589" t="s">
        <v>610</v>
      </c>
      <c r="C119" s="584">
        <v>40</v>
      </c>
      <c r="D119" s="559" t="s">
        <v>631</v>
      </c>
    </row>
    <row r="120" spans="1:11" ht="25.5">
      <c r="A120" s="594" t="s">
        <v>629</v>
      </c>
      <c r="C120" s="560">
        <v>0.02</v>
      </c>
      <c r="D120" s="559" t="s">
        <v>630</v>
      </c>
    </row>
    <row r="121" spans="1:11">
      <c r="A121" s="594" t="s">
        <v>636</v>
      </c>
      <c r="C121" s="584">
        <v>3500</v>
      </c>
      <c r="D121" s="559" t="s">
        <v>630</v>
      </c>
    </row>
    <row r="122" spans="1:11" ht="30">
      <c r="A122" s="583" t="s">
        <v>75</v>
      </c>
      <c r="C122" s="584">
        <v>150000</v>
      </c>
      <c r="D122" s="559" t="s">
        <v>630</v>
      </c>
    </row>
    <row r="123" spans="1:11" ht="30">
      <c r="A123" s="583" t="s">
        <v>638</v>
      </c>
      <c r="C123" s="584">
        <v>10000</v>
      </c>
      <c r="D123" s="559" t="s">
        <v>630</v>
      </c>
    </row>
    <row r="124" spans="1:11" ht="30">
      <c r="A124" s="583" t="s">
        <v>639</v>
      </c>
      <c r="C124" s="584">
        <v>85000</v>
      </c>
      <c r="D124" s="559" t="s">
        <v>630</v>
      </c>
    </row>
    <row r="125" spans="1:11">
      <c r="A125" s="594" t="s">
        <v>640</v>
      </c>
      <c r="C125" s="560">
        <v>0.03</v>
      </c>
      <c r="D125" s="559" t="s">
        <v>630</v>
      </c>
    </row>
    <row r="126" spans="1:11">
      <c r="A126" s="594" t="s">
        <v>641</v>
      </c>
      <c r="C126" s="560">
        <v>0.02</v>
      </c>
      <c r="D126" s="559" t="s">
        <v>630</v>
      </c>
    </row>
    <row r="127" spans="1:11" ht="25.5">
      <c r="A127" s="594" t="s">
        <v>642</v>
      </c>
      <c r="C127" s="584">
        <v>5</v>
      </c>
      <c r="D127" s="559" t="s">
        <v>630</v>
      </c>
    </row>
    <row r="128" spans="1:11" ht="25.5">
      <c r="A128" s="594" t="s">
        <v>643</v>
      </c>
      <c r="C128" s="584">
        <v>0.5</v>
      </c>
      <c r="D128" s="559" t="s">
        <v>630</v>
      </c>
    </row>
    <row r="129" spans="3:3">
      <c r="C129" s="584"/>
    </row>
    <row r="130" spans="3:3">
      <c r="C130" s="584"/>
    </row>
    <row r="131" spans="3:3">
      <c r="C131" s="584"/>
    </row>
    <row r="132" spans="3:3">
      <c r="C132" s="584"/>
    </row>
    <row r="133" spans="3:3">
      <c r="C133" s="584"/>
    </row>
    <row r="134" spans="3:3">
      <c r="C134" s="584"/>
    </row>
    <row r="135" spans="3:3">
      <c r="C135" s="584"/>
    </row>
    <row r="136" spans="3:3">
      <c r="C136" s="584"/>
    </row>
    <row r="137" spans="3:3">
      <c r="C137" s="584"/>
    </row>
    <row r="138" spans="3:3">
      <c r="C138" s="584"/>
    </row>
    <row r="139" spans="3:3">
      <c r="C139" s="584"/>
    </row>
  </sheetData>
  <mergeCells count="27">
    <mergeCell ref="D88:G89"/>
    <mergeCell ref="P72:S72"/>
    <mergeCell ref="T72:W72"/>
    <mergeCell ref="X72:AB72"/>
    <mergeCell ref="D17:G18"/>
    <mergeCell ref="D53:G54"/>
    <mergeCell ref="A72:A73"/>
    <mergeCell ref="C72:C73"/>
    <mergeCell ref="D72:G72"/>
    <mergeCell ref="H72:K72"/>
    <mergeCell ref="L72:O72"/>
    <mergeCell ref="P1:S1"/>
    <mergeCell ref="X1:AB1"/>
    <mergeCell ref="T1:W1"/>
    <mergeCell ref="A34:A35"/>
    <mergeCell ref="C34:C35"/>
    <mergeCell ref="D34:G34"/>
    <mergeCell ref="H34:K34"/>
    <mergeCell ref="L34:O34"/>
    <mergeCell ref="P34:S34"/>
    <mergeCell ref="X34:AB34"/>
    <mergeCell ref="T34:W34"/>
    <mergeCell ref="A1:A2"/>
    <mergeCell ref="C1:C2"/>
    <mergeCell ref="D1:G1"/>
    <mergeCell ref="H1:K1"/>
    <mergeCell ref="L1:O1"/>
  </mergeCells>
  <pageMargins left="0.7" right="0.7" top="0.75" bottom="0.75" header="0.3" footer="0.3"/>
  <pageSetup orientation="portrait" horizontalDpi="300" verticalDpi="0" r:id="rId1"/>
  <ignoredErrors>
    <ignoredError sqref="Q3 U3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Q94"/>
  <sheetViews>
    <sheetView topLeftCell="A29" workbookViewId="0">
      <selection activeCell="L43" sqref="L43"/>
    </sheetView>
  </sheetViews>
  <sheetFormatPr defaultColWidth="15" defaultRowHeight="12"/>
  <cols>
    <col min="1" max="1" width="17.85546875" style="494" customWidth="1"/>
    <col min="2" max="2" width="4.85546875" style="494" bestFit="1" customWidth="1"/>
    <col min="3" max="3" width="10.42578125" style="494" customWidth="1"/>
    <col min="4" max="4" width="12" style="494" customWidth="1"/>
    <col min="5" max="5" width="13.42578125" style="494" customWidth="1"/>
    <col min="6" max="6" width="14.85546875" style="494" customWidth="1"/>
    <col min="7" max="7" width="13" style="494" customWidth="1"/>
    <col min="8" max="8" width="12.85546875" style="494" customWidth="1"/>
    <col min="9" max="9" width="11.85546875" style="494" customWidth="1"/>
    <col min="10" max="10" width="13.42578125" style="494" customWidth="1"/>
    <col min="11" max="11" width="13.140625" style="494" customWidth="1"/>
    <col min="12" max="12" width="12.5703125" style="494" customWidth="1"/>
    <col min="13" max="16384" width="15" style="494"/>
  </cols>
  <sheetData>
    <row r="1" spans="1:13">
      <c r="G1" s="495" t="s">
        <v>526</v>
      </c>
    </row>
    <row r="2" spans="1:13">
      <c r="G2" s="495"/>
      <c r="H2" s="496"/>
    </row>
    <row r="3" spans="1:13">
      <c r="G3" s="495"/>
    </row>
    <row r="4" spans="1:13">
      <c r="G4" s="495"/>
    </row>
    <row r="5" spans="1:13">
      <c r="G5" s="495"/>
    </row>
    <row r="6" spans="1:13">
      <c r="A6" s="497"/>
      <c r="B6" s="497"/>
      <c r="C6" s="498" t="s">
        <v>527</v>
      </c>
      <c r="D6" s="498" t="s">
        <v>527</v>
      </c>
      <c r="E6" s="498" t="s">
        <v>527</v>
      </c>
      <c r="F6" s="498" t="s">
        <v>527</v>
      </c>
      <c r="G6" s="498" t="s">
        <v>527</v>
      </c>
      <c r="H6" s="498" t="s">
        <v>527</v>
      </c>
      <c r="I6" s="498" t="s">
        <v>527</v>
      </c>
      <c r="J6" s="498" t="s">
        <v>527</v>
      </c>
      <c r="K6" s="498" t="s">
        <v>527</v>
      </c>
      <c r="L6" s="498" t="s">
        <v>527</v>
      </c>
    </row>
    <row r="7" spans="1:13">
      <c r="A7" s="496" t="s">
        <v>528</v>
      </c>
      <c r="B7" s="497"/>
      <c r="C7" s="498">
        <v>1</v>
      </c>
      <c r="D7" s="498">
        <f>C7+1</f>
        <v>2</v>
      </c>
      <c r="E7" s="498">
        <f t="shared" ref="E7:L7" si="0">D7+1</f>
        <v>3</v>
      </c>
      <c r="F7" s="498">
        <f t="shared" si="0"/>
        <v>4</v>
      </c>
      <c r="G7" s="498">
        <f t="shared" si="0"/>
        <v>5</v>
      </c>
      <c r="H7" s="498">
        <f t="shared" si="0"/>
        <v>6</v>
      </c>
      <c r="I7" s="498">
        <f t="shared" si="0"/>
        <v>7</v>
      </c>
      <c r="J7" s="498">
        <f t="shared" si="0"/>
        <v>8</v>
      </c>
      <c r="K7" s="498">
        <f t="shared" si="0"/>
        <v>9</v>
      </c>
      <c r="L7" s="498">
        <f t="shared" si="0"/>
        <v>10</v>
      </c>
      <c r="M7" s="498"/>
    </row>
    <row r="8" spans="1:13">
      <c r="A8" s="497"/>
      <c r="B8" s="497"/>
      <c r="C8" s="498"/>
      <c r="D8" s="498"/>
      <c r="E8" s="498"/>
      <c r="F8" s="498"/>
      <c r="G8" s="498"/>
      <c r="H8" s="498"/>
      <c r="I8" s="498"/>
      <c r="J8" s="498"/>
      <c r="K8" s="498"/>
      <c r="L8" s="498"/>
      <c r="M8" s="498"/>
    </row>
    <row r="9" spans="1:13" ht="24">
      <c r="A9" s="499" t="s">
        <v>529</v>
      </c>
      <c r="B9" s="497"/>
      <c r="C9" s="500">
        <f>SUM('Income Statement'!C42)</f>
        <v>10726835</v>
      </c>
      <c r="D9" s="500">
        <f>SUM('Income Statement'!D42)</f>
        <v>19011073</v>
      </c>
      <c r="E9" s="500">
        <f>SUM('Income Statement'!E42)</f>
        <v>418000</v>
      </c>
      <c r="F9" s="500">
        <f>SUM('Income Statement'!F42)</f>
        <v>540000</v>
      </c>
      <c r="G9" s="500">
        <f>SUM('Income Statement'!G42)</f>
        <v>569900</v>
      </c>
      <c r="H9" s="500">
        <f>SUM('Income Statement'!H42)</f>
        <v>162200</v>
      </c>
      <c r="I9" s="500">
        <f>SUM('Income Statement'!I42)</f>
        <v>160800</v>
      </c>
      <c r="J9" s="500">
        <f>SUM('Income Statement'!J42)</f>
        <v>159200</v>
      </c>
      <c r="K9" s="500">
        <f>SUM('Income Statement'!K42)</f>
        <v>157400</v>
      </c>
      <c r="L9" s="500">
        <f>SUM('Income Statement'!L42)</f>
        <v>155300</v>
      </c>
      <c r="M9" s="501"/>
    </row>
    <row r="10" spans="1:13">
      <c r="A10" s="657" t="s">
        <v>530</v>
      </c>
      <c r="B10" s="657"/>
      <c r="C10" s="497"/>
      <c r="D10" s="497"/>
      <c r="E10" s="497"/>
      <c r="F10" s="497"/>
      <c r="G10" s="497"/>
      <c r="H10" s="497"/>
      <c r="I10" s="497"/>
      <c r="J10" s="497"/>
      <c r="K10" s="497"/>
      <c r="L10" s="497"/>
    </row>
    <row r="11" spans="1:13">
      <c r="A11" s="497" t="s">
        <v>182</v>
      </c>
      <c r="B11" s="497"/>
      <c r="C11" s="502">
        <f>C26</f>
        <v>0</v>
      </c>
      <c r="D11" s="502">
        <f t="shared" ref="D11:L11" si="1">D26</f>
        <v>1394.5516200000643</v>
      </c>
      <c r="E11" s="502">
        <f t="shared" si="1"/>
        <v>3644.031240000128</v>
      </c>
      <c r="F11" s="502">
        <f t="shared" si="1"/>
        <v>5353.8872400001283</v>
      </c>
      <c r="G11" s="502">
        <f t="shared" si="1"/>
        <v>6208.8152400001281</v>
      </c>
      <c r="H11" s="502">
        <f t="shared" si="1"/>
        <v>6422.5472400001281</v>
      </c>
      <c r="I11" s="502">
        <f t="shared" si="1"/>
        <v>6850.0112400001281</v>
      </c>
      <c r="J11" s="502">
        <f t="shared" si="1"/>
        <v>7277.4752400001271</v>
      </c>
      <c r="K11" s="502">
        <f t="shared" si="1"/>
        <v>7704.939240000127</v>
      </c>
      <c r="L11" s="502">
        <f t="shared" si="1"/>
        <v>8132.4032400001261</v>
      </c>
    </row>
    <row r="12" spans="1:13">
      <c r="A12" s="497" t="s">
        <v>181</v>
      </c>
      <c r="B12" s="497"/>
      <c r="C12" s="497"/>
      <c r="D12" s="497"/>
      <c r="E12" s="503">
        <v>0</v>
      </c>
      <c r="F12" s="503">
        <v>0</v>
      </c>
      <c r="G12" s="503">
        <v>0</v>
      </c>
      <c r="H12" s="503">
        <v>0</v>
      </c>
      <c r="I12" s="503">
        <v>0</v>
      </c>
      <c r="J12" s="503">
        <v>0</v>
      </c>
      <c r="K12" s="503">
        <v>0</v>
      </c>
      <c r="L12" s="503">
        <v>0</v>
      </c>
    </row>
    <row r="13" spans="1:13">
      <c r="A13" s="496" t="s">
        <v>531</v>
      </c>
      <c r="B13" s="497"/>
      <c r="C13" s="502">
        <f>C9-C11-C12</f>
        <v>10726835</v>
      </c>
      <c r="D13" s="502">
        <f t="shared" ref="D13:L13" si="2">D9-D11-D12</f>
        <v>19009678.448380001</v>
      </c>
      <c r="E13" s="502">
        <f>E9-E11-E12</f>
        <v>414355.96875999984</v>
      </c>
      <c r="F13" s="502">
        <f t="shared" si="2"/>
        <v>534646.11275999981</v>
      </c>
      <c r="G13" s="502">
        <f t="shared" si="2"/>
        <v>563691.18475999986</v>
      </c>
      <c r="H13" s="502">
        <f t="shared" si="2"/>
        <v>155777.45275999987</v>
      </c>
      <c r="I13" s="502">
        <f t="shared" si="2"/>
        <v>153949.98875999986</v>
      </c>
      <c r="J13" s="502">
        <f t="shared" si="2"/>
        <v>151922.52475999988</v>
      </c>
      <c r="K13" s="502">
        <f t="shared" si="2"/>
        <v>149695.06075999988</v>
      </c>
      <c r="L13" s="502">
        <f t="shared" si="2"/>
        <v>147167.59675999987</v>
      </c>
    </row>
    <row r="14" spans="1:13">
      <c r="A14" s="497"/>
      <c r="B14" s="497"/>
      <c r="C14" s="497"/>
      <c r="D14" s="497"/>
      <c r="E14" s="497"/>
      <c r="F14" s="497"/>
      <c r="G14" s="497"/>
      <c r="H14" s="497"/>
      <c r="I14" s="497"/>
      <c r="J14" s="497"/>
      <c r="K14" s="497"/>
      <c r="L14" s="497"/>
    </row>
    <row r="15" spans="1:13">
      <c r="A15" s="497" t="s">
        <v>532</v>
      </c>
      <c r="B15" s="497"/>
      <c r="C15" s="502">
        <f>C13</f>
        <v>10726835</v>
      </c>
      <c r="D15" s="502">
        <f>D13+C15</f>
        <v>29736513.448380001</v>
      </c>
      <c r="E15" s="502">
        <f t="shared" ref="E15:L15" si="3">E13+D15</f>
        <v>30150869.41714</v>
      </c>
      <c r="F15" s="502">
        <f t="shared" si="3"/>
        <v>30685515.529899999</v>
      </c>
      <c r="G15" s="502">
        <f t="shared" si="3"/>
        <v>31249206.71466</v>
      </c>
      <c r="H15" s="502">
        <f t="shared" si="3"/>
        <v>31404984.16742</v>
      </c>
      <c r="I15" s="502">
        <f t="shared" si="3"/>
        <v>31558934.156179998</v>
      </c>
      <c r="J15" s="502">
        <f t="shared" si="3"/>
        <v>31710856.680939998</v>
      </c>
      <c r="K15" s="502">
        <f t="shared" si="3"/>
        <v>31860551.741699997</v>
      </c>
      <c r="L15" s="502">
        <f t="shared" si="3"/>
        <v>32007719.338459998</v>
      </c>
    </row>
    <row r="16" spans="1:13">
      <c r="A16" s="497"/>
      <c r="B16" s="497"/>
      <c r="C16" s="502"/>
      <c r="D16" s="502"/>
      <c r="E16" s="502"/>
      <c r="F16" s="502"/>
      <c r="G16" s="502"/>
      <c r="H16" s="502"/>
      <c r="I16" s="502"/>
      <c r="J16" s="502"/>
      <c r="K16" s="502"/>
      <c r="L16" s="502"/>
    </row>
    <row r="17" spans="1:12" ht="36">
      <c r="A17" s="499" t="s">
        <v>533</v>
      </c>
      <c r="B17" s="497"/>
      <c r="C17" s="504"/>
      <c r="D17" s="504">
        <f t="shared" ref="D17:I17" si="4">D9/((PMT($B18/12,240,-D28,0,0))*12)</f>
        <v>4757.0491507878623</v>
      </c>
      <c r="E17" s="504">
        <f t="shared" si="4"/>
        <v>64.842510735284861</v>
      </c>
      <c r="F17" s="504">
        <f t="shared" si="4"/>
        <v>60.698872325261043</v>
      </c>
      <c r="G17" s="504">
        <f t="shared" si="4"/>
        <v>64.059791366974565</v>
      </c>
      <c r="H17" s="504">
        <f t="shared" si="4"/>
        <v>17.057752053672107</v>
      </c>
      <c r="I17" s="504">
        <f t="shared" si="4"/>
        <v>15.887177183562414</v>
      </c>
      <c r="J17" s="504"/>
      <c r="K17" s="504"/>
      <c r="L17" s="504"/>
    </row>
    <row r="18" spans="1:12">
      <c r="A18" s="497" t="s">
        <v>534</v>
      </c>
      <c r="B18" s="505">
        <v>0.06</v>
      </c>
      <c r="C18" s="502"/>
      <c r="D18" s="502"/>
      <c r="E18" s="502"/>
      <c r="F18" s="502"/>
      <c r="G18" s="502"/>
      <c r="H18" s="502"/>
      <c r="I18" s="502"/>
      <c r="J18" s="502"/>
      <c r="K18" s="502"/>
      <c r="L18" s="502"/>
    </row>
    <row r="19" spans="1:12">
      <c r="A19" s="497"/>
      <c r="B19" s="497"/>
      <c r="C19" s="502"/>
      <c r="D19" s="502"/>
      <c r="E19" s="502"/>
      <c r="F19" s="502"/>
      <c r="G19" s="502"/>
      <c r="H19" s="502"/>
      <c r="I19" s="502"/>
      <c r="J19" s="502"/>
      <c r="K19" s="502"/>
      <c r="L19" s="502"/>
    </row>
    <row r="20" spans="1:12">
      <c r="A20" s="496" t="s">
        <v>535</v>
      </c>
      <c r="B20" s="497"/>
      <c r="C20" s="502"/>
      <c r="D20" s="502"/>
      <c r="E20" s="502"/>
      <c r="F20" s="502"/>
      <c r="G20" s="502"/>
      <c r="H20" s="502"/>
      <c r="I20" s="502"/>
      <c r="J20" s="502"/>
      <c r="K20" s="502"/>
      <c r="L20" s="502"/>
    </row>
    <row r="21" spans="1:12">
      <c r="A21" s="497"/>
      <c r="B21" s="497"/>
      <c r="C21" s="497"/>
      <c r="D21" s="497"/>
      <c r="E21" s="497"/>
      <c r="F21" s="497"/>
      <c r="G21" s="497"/>
      <c r="H21" s="497"/>
      <c r="I21" s="497"/>
      <c r="J21" s="497"/>
      <c r="K21" s="497"/>
      <c r="L21" s="497"/>
    </row>
    <row r="22" spans="1:12">
      <c r="A22" s="497" t="s">
        <v>536</v>
      </c>
      <c r="B22" s="497"/>
      <c r="C22" s="500">
        <f>SUM('Cash Flow Statement'!E30)</f>
        <v>0</v>
      </c>
      <c r="D22" s="500">
        <f>SUM('Cash Flow Statement'!F30)</f>
        <v>51650.060000002384</v>
      </c>
      <c r="E22" s="500">
        <f>SUM('Cash Flow Statement'!G30)</f>
        <v>31664</v>
      </c>
      <c r="F22" s="500">
        <f>SUM('Cash Flow Statement'!H30)</f>
        <v>31664</v>
      </c>
      <c r="G22" s="500">
        <f>SUM('Cash Flow Statement'!I30)</f>
        <v>0</v>
      </c>
      <c r="H22" s="500">
        <f>SUM('Cash Flow Statement'!J30)</f>
        <v>7916</v>
      </c>
      <c r="I22" s="500">
        <f>SUM('Cash Flow Statement'!K30)</f>
        <v>7916</v>
      </c>
      <c r="J22" s="500">
        <f>SUM('Cash Flow Statement'!L30)</f>
        <v>7916</v>
      </c>
      <c r="K22" s="500">
        <f>SUM('Cash Flow Statement'!M30)</f>
        <v>7916</v>
      </c>
      <c r="L22" s="500">
        <f>SUM('Cash Flow Statement'!N30)</f>
        <v>7916</v>
      </c>
    </row>
    <row r="23" spans="1:12">
      <c r="A23" s="497" t="s">
        <v>537</v>
      </c>
      <c r="B23" s="506">
        <v>0.1</v>
      </c>
      <c r="C23" s="500">
        <f>$B23*C22</f>
        <v>0</v>
      </c>
      <c r="D23" s="500">
        <f>$B23*D22</f>
        <v>5165.0060000002386</v>
      </c>
      <c r="E23" s="500">
        <f>$B23*E22</f>
        <v>3166.4</v>
      </c>
      <c r="F23" s="500">
        <f>$B23*F22</f>
        <v>3166.4</v>
      </c>
      <c r="G23" s="500">
        <f>$B23*G22</f>
        <v>0</v>
      </c>
      <c r="H23" s="500">
        <f t="shared" ref="H23:L23" si="5">$B23*H22</f>
        <v>791.6</v>
      </c>
      <c r="I23" s="500">
        <f t="shared" si="5"/>
        <v>791.6</v>
      </c>
      <c r="J23" s="500">
        <f t="shared" si="5"/>
        <v>791.6</v>
      </c>
      <c r="K23" s="500">
        <f t="shared" si="5"/>
        <v>791.6</v>
      </c>
      <c r="L23" s="500">
        <f t="shared" si="5"/>
        <v>791.6</v>
      </c>
    </row>
    <row r="24" spans="1:12">
      <c r="A24" s="657" t="s">
        <v>530</v>
      </c>
      <c r="B24" s="657"/>
      <c r="C24" s="497"/>
      <c r="D24" s="497"/>
      <c r="E24" s="497"/>
      <c r="F24" s="497"/>
      <c r="G24" s="497"/>
      <c r="H24" s="497"/>
      <c r="I24" s="497"/>
      <c r="J24" s="497"/>
      <c r="K24" s="497"/>
      <c r="L24" s="497"/>
    </row>
    <row r="25" spans="1:12">
      <c r="A25" s="497" t="s">
        <v>538</v>
      </c>
      <c r="B25" s="497"/>
      <c r="C25" s="500">
        <f>C22-C23</f>
        <v>0</v>
      </c>
      <c r="D25" s="500">
        <f>D22-D12-D23</f>
        <v>46485.054000002143</v>
      </c>
      <c r="E25" s="500">
        <f t="shared" ref="E25:L25" si="6">E22-E12-E23</f>
        <v>28497.599999999999</v>
      </c>
      <c r="F25" s="500">
        <f t="shared" si="6"/>
        <v>28497.599999999999</v>
      </c>
      <c r="G25" s="500">
        <f t="shared" si="6"/>
        <v>0</v>
      </c>
      <c r="H25" s="500">
        <f t="shared" si="6"/>
        <v>7124.4</v>
      </c>
      <c r="I25" s="500">
        <f t="shared" si="6"/>
        <v>7124.4</v>
      </c>
      <c r="J25" s="500">
        <f t="shared" si="6"/>
        <v>7124.4</v>
      </c>
      <c r="K25" s="500">
        <f t="shared" si="6"/>
        <v>7124.4</v>
      </c>
      <c r="L25" s="500">
        <f t="shared" si="6"/>
        <v>7124.4</v>
      </c>
    </row>
    <row r="26" spans="1:12">
      <c r="A26" s="497" t="s">
        <v>182</v>
      </c>
      <c r="B26" s="497"/>
      <c r="C26" s="500">
        <f>C25/2*B31</f>
        <v>0</v>
      </c>
      <c r="D26" s="500">
        <f t="shared" ref="D26:L26" si="7">$B31*((C28+D28)/2)</f>
        <v>1394.5516200000643</v>
      </c>
      <c r="E26" s="500">
        <f t="shared" si="7"/>
        <v>3644.031240000128</v>
      </c>
      <c r="F26" s="500">
        <f t="shared" si="7"/>
        <v>5353.8872400001283</v>
      </c>
      <c r="G26" s="500">
        <f t="shared" si="7"/>
        <v>6208.8152400001281</v>
      </c>
      <c r="H26" s="500">
        <f t="shared" si="7"/>
        <v>6422.5472400001281</v>
      </c>
      <c r="I26" s="500">
        <f t="shared" si="7"/>
        <v>6850.0112400001281</v>
      </c>
      <c r="J26" s="500">
        <f t="shared" si="7"/>
        <v>7277.4752400001271</v>
      </c>
      <c r="K26" s="500">
        <f t="shared" si="7"/>
        <v>7704.939240000127</v>
      </c>
      <c r="L26" s="500">
        <f t="shared" si="7"/>
        <v>8132.4032400001261</v>
      </c>
    </row>
    <row r="27" spans="1:12">
      <c r="A27" s="497"/>
      <c r="B27" s="497"/>
      <c r="C27" s="500"/>
      <c r="D27" s="500"/>
      <c r="E27" s="500"/>
      <c r="F27" s="500"/>
      <c r="G27" s="500"/>
      <c r="H27" s="500"/>
      <c r="I27" s="500"/>
      <c r="J27" s="500"/>
      <c r="K27" s="500"/>
      <c r="L27" s="500"/>
    </row>
    <row r="28" spans="1:12">
      <c r="A28" s="497" t="s">
        <v>539</v>
      </c>
      <c r="B28" s="497"/>
      <c r="C28" s="500">
        <f>C25</f>
        <v>0</v>
      </c>
      <c r="D28" s="500">
        <f>D25+C28</f>
        <v>46485.054000002143</v>
      </c>
      <c r="E28" s="500">
        <f t="shared" ref="E28:L28" si="8">E25+D28</f>
        <v>74982.654000002134</v>
      </c>
      <c r="F28" s="500">
        <f t="shared" si="8"/>
        <v>103480.25400000214</v>
      </c>
      <c r="G28" s="500">
        <f t="shared" si="8"/>
        <v>103480.25400000214</v>
      </c>
      <c r="H28" s="500">
        <f t="shared" si="8"/>
        <v>110604.65400000213</v>
      </c>
      <c r="I28" s="500">
        <f t="shared" si="8"/>
        <v>117729.05400000213</v>
      </c>
      <c r="J28" s="500">
        <f t="shared" si="8"/>
        <v>124853.45400000212</v>
      </c>
      <c r="K28" s="500">
        <f t="shared" si="8"/>
        <v>131977.85400000212</v>
      </c>
      <c r="L28" s="500">
        <f t="shared" si="8"/>
        <v>139102.25400000211</v>
      </c>
    </row>
    <row r="29" spans="1:12">
      <c r="A29" s="497"/>
      <c r="B29" s="497"/>
      <c r="C29" s="500"/>
      <c r="D29" s="500"/>
      <c r="E29" s="500"/>
      <c r="F29" s="500"/>
      <c r="G29" s="500"/>
      <c r="H29" s="500"/>
      <c r="I29" s="500"/>
      <c r="J29" s="500"/>
      <c r="K29" s="500"/>
      <c r="L29" s="500"/>
    </row>
    <row r="30" spans="1:12">
      <c r="A30" s="497"/>
      <c r="B30" s="497"/>
      <c r="C30" s="497"/>
      <c r="D30" s="497"/>
      <c r="E30" s="497"/>
      <c r="F30" s="497"/>
      <c r="G30" s="497"/>
      <c r="H30" s="497"/>
      <c r="I30" s="497"/>
      <c r="J30" s="497"/>
      <c r="K30" s="497"/>
      <c r="L30" s="497"/>
    </row>
    <row r="31" spans="1:12">
      <c r="A31" s="497" t="s">
        <v>540</v>
      </c>
      <c r="B31" s="504">
        <f>SUM(B18)</f>
        <v>0.06</v>
      </c>
      <c r="C31" s="497"/>
      <c r="D31" s="497"/>
      <c r="E31" s="497"/>
      <c r="F31" s="497"/>
      <c r="G31" s="497"/>
      <c r="H31" s="497"/>
      <c r="I31" s="497"/>
      <c r="J31" s="497"/>
      <c r="K31" s="497"/>
      <c r="L31" s="497"/>
    </row>
    <row r="32" spans="1:12">
      <c r="A32" s="497"/>
      <c r="B32" s="497"/>
      <c r="C32" s="497"/>
      <c r="D32" s="497"/>
      <c r="E32" s="497"/>
      <c r="F32" s="497"/>
      <c r="G32" s="497"/>
      <c r="H32" s="497"/>
      <c r="I32" s="497"/>
      <c r="J32" s="497"/>
      <c r="K32" s="497"/>
      <c r="L32" s="497"/>
    </row>
    <row r="33" spans="1:17">
      <c r="A33" s="497" t="s">
        <v>541</v>
      </c>
      <c r="B33" s="497"/>
      <c r="C33" s="502">
        <f>SUM(Revenue!B113*B34)</f>
        <v>1825500</v>
      </c>
      <c r="D33" s="502">
        <f>SUM(Revenue!C113*B34)</f>
        <v>4104000</v>
      </c>
      <c r="E33" s="502">
        <f>SUM(Revenue!D113*B34)</f>
        <v>4128000</v>
      </c>
      <c r="F33" s="502">
        <f>SUM(Revenue!E113*B34)</f>
        <v>4152000</v>
      </c>
      <c r="G33" s="502">
        <f>SUM(Revenue!F113*B34)</f>
        <v>4152000</v>
      </c>
      <c r="H33" s="502">
        <f>SUM(Revenue!G113*B34)</f>
        <v>4158000</v>
      </c>
      <c r="I33" s="502">
        <f>SUM(Revenue!H113*B34)</f>
        <v>4164000</v>
      </c>
      <c r="J33" s="502">
        <f>SUM(Revenue!I113*B34)</f>
        <v>4170000</v>
      </c>
      <c r="K33" s="502">
        <f>SUM(Revenue!J113*B34)</f>
        <v>4176000</v>
      </c>
      <c r="L33" s="502">
        <f>SUM(Revenue!K113*B34)</f>
        <v>4182000</v>
      </c>
      <c r="M33" s="507"/>
      <c r="N33" s="508"/>
      <c r="O33" s="508"/>
      <c r="P33" s="508"/>
      <c r="Q33" s="508"/>
    </row>
    <row r="34" spans="1:17">
      <c r="A34" s="497"/>
      <c r="B34" s="509">
        <v>1500</v>
      </c>
      <c r="C34" s="502"/>
      <c r="D34" s="502"/>
      <c r="E34" s="502"/>
      <c r="F34" s="502"/>
      <c r="G34" s="502"/>
      <c r="H34" s="502"/>
      <c r="I34" s="502"/>
      <c r="J34" s="502"/>
      <c r="K34" s="502"/>
      <c r="L34" s="502"/>
    </row>
    <row r="35" spans="1:17">
      <c r="A35" s="497"/>
      <c r="B35" s="497"/>
      <c r="C35" s="497"/>
      <c r="D35" s="497"/>
      <c r="E35" s="497"/>
      <c r="F35" s="497"/>
      <c r="G35" s="497"/>
      <c r="H35" s="497"/>
      <c r="I35" s="497"/>
      <c r="J35" s="497"/>
      <c r="K35" s="497"/>
      <c r="L35" s="497"/>
    </row>
    <row r="36" spans="1:17">
      <c r="A36" s="496" t="s">
        <v>542</v>
      </c>
      <c r="B36" s="497"/>
      <c r="C36" s="497"/>
      <c r="D36" s="497"/>
      <c r="E36" s="497"/>
      <c r="F36" s="497"/>
      <c r="G36" s="497"/>
      <c r="H36" s="497"/>
      <c r="I36" s="497"/>
      <c r="J36" s="497"/>
      <c r="K36" s="497"/>
      <c r="L36" s="510"/>
    </row>
    <row r="38" spans="1:17">
      <c r="A38" s="496" t="s">
        <v>543</v>
      </c>
      <c r="L38" s="501"/>
    </row>
    <row r="39" spans="1:17">
      <c r="L39" s="501"/>
    </row>
    <row r="40" spans="1:17">
      <c r="A40" s="511" t="s">
        <v>544</v>
      </c>
      <c r="B40" s="497"/>
      <c r="C40" s="498"/>
      <c r="D40" s="512">
        <v>0.1</v>
      </c>
      <c r="E40" s="512">
        <v>0.12</v>
      </c>
      <c r="F40" s="512">
        <v>0.14000000000000001</v>
      </c>
      <c r="G40" s="512">
        <v>0.16</v>
      </c>
      <c r="H40" s="497"/>
      <c r="I40" s="497"/>
      <c r="J40" s="497"/>
      <c r="K40" s="497"/>
      <c r="L40" s="502"/>
      <c r="M40" s="497"/>
    </row>
    <row r="41" spans="1:17" s="508" customFormat="1">
      <c r="A41" s="513"/>
      <c r="B41" s="507"/>
      <c r="C41" s="495"/>
      <c r="D41" s="514"/>
      <c r="E41" s="514"/>
      <c r="F41" s="514"/>
      <c r="G41" s="514"/>
      <c r="H41" s="507"/>
      <c r="I41" s="507"/>
      <c r="J41" s="507"/>
      <c r="K41" s="507"/>
      <c r="L41" s="515"/>
      <c r="M41" s="507"/>
    </row>
    <row r="42" spans="1:17">
      <c r="A42" s="496" t="s">
        <v>545</v>
      </c>
      <c r="B42" s="497"/>
      <c r="C42" s="497"/>
      <c r="D42" s="497"/>
      <c r="E42" s="497"/>
      <c r="F42" s="497"/>
      <c r="G42" s="497"/>
      <c r="H42" s="497"/>
      <c r="I42" s="497"/>
      <c r="J42" s="497"/>
      <c r="K42" s="497"/>
      <c r="L42" s="497"/>
      <c r="M42" s="497"/>
    </row>
    <row r="43" spans="1:17">
      <c r="A43" s="497" t="s">
        <v>546</v>
      </c>
      <c r="B43" s="497"/>
      <c r="C43" s="497"/>
      <c r="D43" s="516">
        <f>NPV(D40,$C9,$D9,$E9,$F9,$G9,$H9,$I9,$J9,$K9,$L9)</f>
        <v>26875007.984791834</v>
      </c>
      <c r="E43" s="516">
        <f>NPV(E40,$C9,$D9,$E9,$F9,$G9,$H9,$I9,$J9,$K9,$L9)</f>
        <v>26023096.715424232</v>
      </c>
      <c r="F43" s="516">
        <f>NPV(F40,$C9,$D9,$E9,$F9,$G9,$H9,$I9,$J9,$K9,$L9)</f>
        <v>25220017.171066847</v>
      </c>
      <c r="G43" s="516">
        <f>NPV(G40,$C9,$D9,$E9,$F9,$G9,$H9,$I9,$J9,$K9,$L9)</f>
        <v>24461586.964763936</v>
      </c>
      <c r="H43" s="497"/>
      <c r="I43" s="497"/>
      <c r="J43" s="497"/>
      <c r="K43" s="497"/>
      <c r="L43" s="500"/>
      <c r="M43" s="497"/>
    </row>
    <row r="44" spans="1:17">
      <c r="A44" s="497" t="s">
        <v>220</v>
      </c>
      <c r="B44" s="497"/>
      <c r="C44" s="497"/>
      <c r="D44" s="516">
        <f>SUM(D43:D43)</f>
        <v>26875007.984791834</v>
      </c>
      <c r="E44" s="516">
        <f>SUM(E43:E43)</f>
        <v>26023096.715424232</v>
      </c>
      <c r="F44" s="516">
        <f>SUM(F43:F43)</f>
        <v>25220017.171066847</v>
      </c>
      <c r="G44" s="516">
        <f>SUM(G43:G43)</f>
        <v>24461586.964763936</v>
      </c>
      <c r="H44" s="497"/>
      <c r="I44" s="497"/>
      <c r="J44" s="497"/>
      <c r="K44" s="497"/>
      <c r="L44" s="497"/>
      <c r="M44" s="497"/>
    </row>
    <row r="45" spans="1:17">
      <c r="A45" s="497"/>
      <c r="B45" s="497"/>
      <c r="C45" s="497"/>
      <c r="D45" s="516"/>
      <c r="E45" s="516"/>
      <c r="F45" s="516"/>
      <c r="G45" s="516"/>
      <c r="H45" s="497"/>
      <c r="I45" s="497"/>
      <c r="J45" s="497"/>
      <c r="K45" s="497"/>
      <c r="L45" s="497"/>
      <c r="M45" s="497"/>
    </row>
    <row r="46" spans="1:17">
      <c r="A46" s="496" t="s">
        <v>547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  <c r="M46" s="497"/>
    </row>
    <row r="47" spans="1:17">
      <c r="A47" s="497" t="s">
        <v>548</v>
      </c>
      <c r="B47" s="497"/>
      <c r="C47" s="497"/>
      <c r="D47" s="516">
        <f>NPV(D40,0,0,0,0,0,0,0,0,0,$L33)</f>
        <v>1612342.0363943004</v>
      </c>
      <c r="E47" s="516">
        <f>NPV(E40,0,0,0,0,0,0,0,0,0,$L33)</f>
        <v>1346492.0754222902</v>
      </c>
      <c r="F47" s="516">
        <f>NPV(F40,0,0,0,0,0,0,0,0,0,$L33)</f>
        <v>1128068.6114080332</v>
      </c>
      <c r="G47" s="516">
        <f>NPV(G40,0,0,0,0,0,0,0,0,0,$L33)</f>
        <v>947990.82961453649</v>
      </c>
      <c r="H47" s="497"/>
      <c r="I47" s="497"/>
      <c r="J47" s="497"/>
      <c r="K47" s="497"/>
      <c r="L47" s="497"/>
      <c r="M47" s="497"/>
    </row>
    <row r="48" spans="1:17">
      <c r="A48" s="497"/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  <c r="M48" s="497"/>
    </row>
    <row r="49" spans="1:13">
      <c r="A49" s="496" t="s">
        <v>549</v>
      </c>
      <c r="B49" s="497"/>
      <c r="C49" s="497"/>
      <c r="D49" s="516">
        <f>D44+D47</f>
        <v>28487350.021186136</v>
      </c>
      <c r="E49" s="516">
        <f>E44+E47</f>
        <v>27369588.790846523</v>
      </c>
      <c r="F49" s="516">
        <f>F44+F47</f>
        <v>26348085.782474879</v>
      </c>
      <c r="G49" s="516">
        <f>G44+G47</f>
        <v>25409577.794378471</v>
      </c>
      <c r="H49" s="497"/>
      <c r="I49" s="497"/>
      <c r="J49" s="497"/>
      <c r="K49" s="497"/>
      <c r="L49" s="497"/>
      <c r="M49" s="497"/>
    </row>
    <row r="50" spans="1:13">
      <c r="A50" s="497"/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  <c r="M50" s="497"/>
    </row>
    <row r="51" spans="1:13">
      <c r="A51" s="497"/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  <c r="M51" s="497"/>
    </row>
    <row r="52" spans="1:13">
      <c r="A52" s="496" t="s">
        <v>550</v>
      </c>
      <c r="B52" s="497"/>
      <c r="C52" s="498" t="s">
        <v>527</v>
      </c>
      <c r="D52" s="498" t="s">
        <v>527</v>
      </c>
      <c r="E52" s="498" t="s">
        <v>527</v>
      </c>
      <c r="F52" s="498" t="s">
        <v>527</v>
      </c>
      <c r="G52" s="498" t="s">
        <v>527</v>
      </c>
      <c r="H52" s="498" t="s">
        <v>527</v>
      </c>
      <c r="I52" s="498" t="s">
        <v>527</v>
      </c>
      <c r="J52" s="498" t="s">
        <v>527</v>
      </c>
      <c r="K52" s="498" t="s">
        <v>527</v>
      </c>
      <c r="L52" s="498" t="s">
        <v>527</v>
      </c>
      <c r="M52" s="497"/>
    </row>
    <row r="53" spans="1:13">
      <c r="A53" s="496"/>
      <c r="B53" s="497"/>
      <c r="C53" s="498">
        <f t="shared" ref="C53:L53" si="9">C7</f>
        <v>1</v>
      </c>
      <c r="D53" s="498">
        <f t="shared" si="9"/>
        <v>2</v>
      </c>
      <c r="E53" s="498">
        <f t="shared" si="9"/>
        <v>3</v>
      </c>
      <c r="F53" s="498">
        <f t="shared" si="9"/>
        <v>4</v>
      </c>
      <c r="G53" s="498">
        <f t="shared" si="9"/>
        <v>5</v>
      </c>
      <c r="H53" s="498">
        <f t="shared" si="9"/>
        <v>6</v>
      </c>
      <c r="I53" s="498">
        <f t="shared" si="9"/>
        <v>7</v>
      </c>
      <c r="J53" s="498">
        <f t="shared" si="9"/>
        <v>8</v>
      </c>
      <c r="K53" s="498">
        <f t="shared" si="9"/>
        <v>9</v>
      </c>
      <c r="L53" s="498">
        <f t="shared" si="9"/>
        <v>10</v>
      </c>
      <c r="M53" s="497"/>
    </row>
    <row r="54" spans="1:13">
      <c r="A54" s="497" t="s">
        <v>551</v>
      </c>
      <c r="B54" s="497"/>
      <c r="C54" s="502">
        <f t="shared" ref="C54:L54" si="10">C9</f>
        <v>10726835</v>
      </c>
      <c r="D54" s="502">
        <f t="shared" si="10"/>
        <v>19011073</v>
      </c>
      <c r="E54" s="502">
        <f t="shared" si="10"/>
        <v>418000</v>
      </c>
      <c r="F54" s="502">
        <f t="shared" si="10"/>
        <v>540000</v>
      </c>
      <c r="G54" s="502">
        <f t="shared" si="10"/>
        <v>569900</v>
      </c>
      <c r="H54" s="502">
        <f t="shared" si="10"/>
        <v>162200</v>
      </c>
      <c r="I54" s="502">
        <f t="shared" si="10"/>
        <v>160800</v>
      </c>
      <c r="J54" s="502">
        <f t="shared" si="10"/>
        <v>159200</v>
      </c>
      <c r="K54" s="502">
        <f t="shared" si="10"/>
        <v>157400</v>
      </c>
      <c r="L54" s="502">
        <f t="shared" si="10"/>
        <v>155300</v>
      </c>
      <c r="M54" s="497" t="s">
        <v>552</v>
      </c>
    </row>
    <row r="55" spans="1:13">
      <c r="A55" s="497" t="s">
        <v>536</v>
      </c>
      <c r="B55" s="497"/>
      <c r="C55" s="502">
        <f t="shared" ref="C55:L55" si="11">C22</f>
        <v>0</v>
      </c>
      <c r="D55" s="502">
        <f t="shared" si="11"/>
        <v>51650.060000002384</v>
      </c>
      <c r="E55" s="502">
        <f t="shared" si="11"/>
        <v>31664</v>
      </c>
      <c r="F55" s="502">
        <f t="shared" si="11"/>
        <v>31664</v>
      </c>
      <c r="G55" s="502">
        <f t="shared" si="11"/>
        <v>0</v>
      </c>
      <c r="H55" s="502">
        <f t="shared" si="11"/>
        <v>7916</v>
      </c>
      <c r="I55" s="502">
        <f t="shared" si="11"/>
        <v>7916</v>
      </c>
      <c r="J55" s="502">
        <f t="shared" si="11"/>
        <v>7916</v>
      </c>
      <c r="K55" s="502">
        <f t="shared" si="11"/>
        <v>7916</v>
      </c>
      <c r="L55" s="502">
        <f t="shared" si="11"/>
        <v>7916</v>
      </c>
      <c r="M55" s="502" t="s">
        <v>553</v>
      </c>
    </row>
    <row r="56" spans="1:13">
      <c r="A56" s="497" t="s">
        <v>554</v>
      </c>
      <c r="B56" s="497"/>
      <c r="C56" s="502">
        <f>C54-C55</f>
        <v>10726835</v>
      </c>
      <c r="D56" s="502">
        <f t="shared" ref="D56:L56" si="12">D54-D55</f>
        <v>18959422.939999998</v>
      </c>
      <c r="E56" s="502">
        <f t="shared" si="12"/>
        <v>386336</v>
      </c>
      <c r="F56" s="502">
        <f t="shared" si="12"/>
        <v>508336</v>
      </c>
      <c r="G56" s="502">
        <f t="shared" si="12"/>
        <v>569900</v>
      </c>
      <c r="H56" s="502">
        <f t="shared" si="12"/>
        <v>154284</v>
      </c>
      <c r="I56" s="502">
        <f t="shared" si="12"/>
        <v>152884</v>
      </c>
      <c r="J56" s="502">
        <f t="shared" si="12"/>
        <v>151284</v>
      </c>
      <c r="K56" s="502">
        <f t="shared" si="12"/>
        <v>149484</v>
      </c>
      <c r="L56" s="502">
        <f t="shared" si="12"/>
        <v>147384</v>
      </c>
      <c r="M56" s="502">
        <f>SUM(C56:L56)</f>
        <v>31906149.939999998</v>
      </c>
    </row>
    <row r="57" spans="1:13">
      <c r="A57" s="497"/>
      <c r="B57" s="497"/>
      <c r="C57" s="497"/>
      <c r="D57" s="497"/>
      <c r="E57" s="497"/>
      <c r="F57" s="497"/>
      <c r="G57" s="497"/>
      <c r="H57" s="497"/>
      <c r="I57" s="497"/>
      <c r="J57" s="497"/>
      <c r="K57" s="497"/>
      <c r="L57" s="497"/>
      <c r="M57" s="497"/>
    </row>
    <row r="58" spans="1:13">
      <c r="A58" s="517" t="s">
        <v>555</v>
      </c>
      <c r="B58" s="518"/>
      <c r="C58" s="519" t="e">
        <f>IRR(C56:L56,0.1)</f>
        <v>#NUM!</v>
      </c>
      <c r="D58" s="520"/>
      <c r="E58" s="520"/>
      <c r="F58" s="520"/>
      <c r="G58" s="520"/>
      <c r="H58" s="520"/>
      <c r="I58" s="520"/>
      <c r="J58" s="520" t="s">
        <v>556</v>
      </c>
      <c r="K58" s="520"/>
      <c r="L58" s="521">
        <f>SUM(M56)</f>
        <v>31906149.939999998</v>
      </c>
      <c r="M58" s="497"/>
    </row>
    <row r="59" spans="1:13">
      <c r="A59" s="517" t="s">
        <v>557</v>
      </c>
      <c r="B59" s="518"/>
      <c r="C59" s="519" t="e">
        <f>MIRR(C56:L56,E59,H59)</f>
        <v>#DIV/0!</v>
      </c>
      <c r="D59" s="513" t="s">
        <v>558</v>
      </c>
      <c r="E59" s="522">
        <v>0.05</v>
      </c>
      <c r="F59" s="513" t="s">
        <v>559</v>
      </c>
      <c r="H59" s="522">
        <v>0.06</v>
      </c>
      <c r="I59" s="520"/>
      <c r="J59" s="520" t="s">
        <v>560</v>
      </c>
      <c r="K59" s="520"/>
      <c r="L59" s="522">
        <v>0.1</v>
      </c>
      <c r="M59" s="497"/>
    </row>
    <row r="60" spans="1:13">
      <c r="A60" s="497"/>
      <c r="B60" s="497"/>
      <c r="C60" s="497" t="s">
        <v>561</v>
      </c>
      <c r="D60" s="497"/>
      <c r="E60" s="497"/>
      <c r="F60" s="497"/>
      <c r="G60" s="497"/>
      <c r="H60" s="497"/>
      <c r="I60" s="497"/>
      <c r="J60" s="497"/>
      <c r="K60" s="497"/>
      <c r="L60" s="497"/>
      <c r="M60" s="497"/>
    </row>
    <row r="61" spans="1:13">
      <c r="B61" s="497"/>
      <c r="C61" s="497"/>
      <c r="D61" s="497"/>
      <c r="E61" s="497"/>
      <c r="F61" s="497"/>
      <c r="G61" s="497"/>
      <c r="H61" s="497"/>
      <c r="I61" s="497"/>
      <c r="J61" s="497"/>
      <c r="K61" s="497"/>
      <c r="L61" s="497"/>
      <c r="M61" s="497"/>
    </row>
    <row r="67" spans="1:9" ht="15">
      <c r="A67"/>
      <c r="B67"/>
      <c r="C67"/>
      <c r="D67"/>
      <c r="E67"/>
      <c r="F67"/>
      <c r="G67"/>
      <c r="H67"/>
      <c r="I67"/>
    </row>
    <row r="68" spans="1:9" ht="15">
      <c r="A68" t="s">
        <v>562</v>
      </c>
      <c r="B68"/>
      <c r="C68"/>
      <c r="D68"/>
      <c r="E68"/>
      <c r="F68" s="523">
        <f>SUM(L15)</f>
        <v>32007719.338459998</v>
      </c>
      <c r="G68"/>
      <c r="H68"/>
      <c r="I68"/>
    </row>
    <row r="69" spans="1:9" ht="15">
      <c r="A69" t="s">
        <v>563</v>
      </c>
      <c r="B69"/>
      <c r="C69"/>
      <c r="D69"/>
      <c r="E69"/>
      <c r="F69" s="523">
        <f>SUM(L28)</f>
        <v>139102.25400000211</v>
      </c>
      <c r="G69"/>
      <c r="H69"/>
      <c r="I69"/>
    </row>
    <row r="70" spans="1:9" ht="15">
      <c r="A70" t="s">
        <v>564</v>
      </c>
      <c r="B70"/>
      <c r="C70"/>
      <c r="D70"/>
      <c r="E70"/>
      <c r="F70" s="523">
        <f>F68-F69</f>
        <v>31868617.084459998</v>
      </c>
      <c r="G70"/>
      <c r="H70"/>
      <c r="I70"/>
    </row>
    <row r="71" spans="1:9" ht="12.75">
      <c r="A71" s="524"/>
      <c r="B71" s="525"/>
      <c r="C71" s="525" t="s">
        <v>565</v>
      </c>
      <c r="D71" s="526"/>
      <c r="E71" s="526"/>
      <c r="F71" s="527"/>
      <c r="G71" s="524"/>
      <c r="H71" s="524"/>
      <c r="I71" s="524"/>
    </row>
    <row r="72" spans="1:9" ht="15">
      <c r="A72"/>
      <c r="B72"/>
      <c r="C72"/>
      <c r="D72"/>
      <c r="E72"/>
      <c r="F72"/>
      <c r="G72"/>
      <c r="H72"/>
      <c r="I72"/>
    </row>
    <row r="73" spans="1:9" ht="15">
      <c r="A73" t="s">
        <v>566</v>
      </c>
      <c r="B73"/>
      <c r="C73"/>
      <c r="D73"/>
      <c r="E73"/>
      <c r="F73"/>
      <c r="G73"/>
      <c r="H73"/>
      <c r="I73"/>
    </row>
    <row r="74" spans="1:9" ht="15">
      <c r="A74"/>
      <c r="B74"/>
      <c r="C74"/>
      <c r="D74"/>
      <c r="E74"/>
      <c r="F74"/>
      <c r="G74"/>
      <c r="H74"/>
      <c r="I74"/>
    </row>
    <row r="75" spans="1:9" ht="15">
      <c r="A75" t="s">
        <v>567</v>
      </c>
      <c r="B75"/>
      <c r="C75"/>
      <c r="D75" s="490" t="s">
        <v>568</v>
      </c>
      <c r="E75" s="490" t="s">
        <v>569</v>
      </c>
      <c r="F75" s="490" t="s">
        <v>570</v>
      </c>
      <c r="G75"/>
      <c r="H75"/>
      <c r="I75"/>
    </row>
    <row r="76" spans="1:9" ht="15">
      <c r="A76" t="s">
        <v>571</v>
      </c>
      <c r="B76"/>
      <c r="C76"/>
      <c r="D76" s="490">
        <f>IF(G70&gt;(G72+G83),1,0)</f>
        <v>0</v>
      </c>
      <c r="E76" s="536">
        <f t="shared" ref="E76:F76" si="13">IF(H70&gt;(H72+H83),1,0)</f>
        <v>0</v>
      </c>
      <c r="F76" s="536">
        <f t="shared" si="13"/>
        <v>0</v>
      </c>
      <c r="G76"/>
      <c r="H76"/>
      <c r="I76"/>
    </row>
    <row r="77" spans="1:9" ht="15">
      <c r="A77"/>
      <c r="B77"/>
      <c r="C77"/>
      <c r="D77" s="490"/>
      <c r="E77" s="490"/>
      <c r="F77" s="490"/>
      <c r="G77"/>
      <c r="H77"/>
      <c r="I77"/>
    </row>
    <row r="78" spans="1:9" ht="15">
      <c r="A78" s="528"/>
      <c r="B78" s="528"/>
      <c r="C78" s="529" t="s">
        <v>572</v>
      </c>
      <c r="D78" s="530"/>
      <c r="E78" s="530"/>
      <c r="F78" s="530"/>
      <c r="G78" s="528"/>
      <c r="H78" s="528"/>
      <c r="I78" s="528"/>
    </row>
    <row r="79" spans="1:9" ht="15">
      <c r="A79"/>
      <c r="B79"/>
      <c r="C79"/>
      <c r="D79"/>
      <c r="E79"/>
      <c r="F79"/>
      <c r="G79"/>
      <c r="H79"/>
      <c r="I79"/>
    </row>
    <row r="80" spans="1:9" ht="15">
      <c r="A80" t="s">
        <v>573</v>
      </c>
      <c r="B80"/>
      <c r="C80"/>
      <c r="D80" s="536"/>
      <c r="E80" s="536"/>
      <c r="F80" s="536"/>
      <c r="G80"/>
      <c r="H80"/>
      <c r="I80"/>
    </row>
    <row r="81" spans="1:9" ht="15">
      <c r="A81" t="s">
        <v>574</v>
      </c>
      <c r="B81"/>
      <c r="C81"/>
      <c r="D81" s="531">
        <f>SUM(D40)</f>
        <v>0.1</v>
      </c>
      <c r="E81" s="531">
        <f t="shared" ref="E81:F81" si="14">SUM(E40)</f>
        <v>0.12</v>
      </c>
      <c r="F81" s="531">
        <f t="shared" si="14"/>
        <v>0.14000000000000001</v>
      </c>
      <c r="G81"/>
      <c r="H81"/>
      <c r="I81"/>
    </row>
    <row r="82" spans="1:9" ht="15">
      <c r="A82"/>
      <c r="B82"/>
      <c r="C82"/>
      <c r="D82"/>
      <c r="E82"/>
      <c r="F82"/>
      <c r="G82"/>
      <c r="H82"/>
      <c r="I82"/>
    </row>
    <row r="83" spans="1:9" ht="15">
      <c r="A83" t="s">
        <v>575</v>
      </c>
      <c r="B83"/>
      <c r="C83"/>
      <c r="D83" s="532">
        <f>SUM(D49)</f>
        <v>28487350.021186136</v>
      </c>
      <c r="E83" s="532">
        <f t="shared" ref="E83:F83" si="15">SUM(E49)</f>
        <v>27369588.790846523</v>
      </c>
      <c r="F83" s="532">
        <f t="shared" si="15"/>
        <v>26348085.782474879</v>
      </c>
      <c r="G83"/>
      <c r="H83"/>
      <c r="I83"/>
    </row>
    <row r="84" spans="1:9" ht="15">
      <c r="A84"/>
      <c r="B84"/>
      <c r="C84"/>
      <c r="D84"/>
      <c r="E84"/>
      <c r="F84"/>
      <c r="G84"/>
      <c r="H84"/>
      <c r="I84"/>
    </row>
    <row r="85" spans="1:9" ht="15">
      <c r="A85" t="s">
        <v>576</v>
      </c>
      <c r="B85"/>
      <c r="C85"/>
      <c r="D85" s="532">
        <f>SUM(D83/Revenue!B113)</f>
        <v>23407.847182568723</v>
      </c>
      <c r="E85" s="532">
        <f>SUM(E83/Revenue!C113)</f>
        <v>10003.504675017004</v>
      </c>
      <c r="F85" s="532">
        <f>SUM(F83/Revenue!D113)</f>
        <v>9574.1590779341859</v>
      </c>
      <c r="G85"/>
      <c r="H85"/>
      <c r="I85"/>
    </row>
    <row r="86" spans="1:9" ht="15">
      <c r="A86"/>
      <c r="B86"/>
      <c r="C86"/>
      <c r="D86"/>
      <c r="E86"/>
      <c r="F86"/>
      <c r="G86"/>
      <c r="H86"/>
      <c r="I86"/>
    </row>
    <row r="87" spans="1:9" ht="15">
      <c r="A87" s="528"/>
      <c r="B87" s="529" t="s">
        <v>577</v>
      </c>
      <c r="C87" s="529"/>
      <c r="D87" s="528"/>
      <c r="E87" s="528"/>
      <c r="F87" s="528"/>
      <c r="G87" s="528"/>
      <c r="H87" s="528"/>
      <c r="I87" s="528"/>
    </row>
    <row r="88" spans="1:9" ht="15">
      <c r="A88"/>
      <c r="B88"/>
      <c r="C88"/>
      <c r="D88"/>
      <c r="E88"/>
      <c r="F88"/>
      <c r="G88"/>
      <c r="H88"/>
      <c r="I88"/>
    </row>
    <row r="89" spans="1:9" ht="15">
      <c r="A89" t="s">
        <v>578</v>
      </c>
      <c r="B89"/>
      <c r="C89"/>
      <c r="D89"/>
      <c r="E89"/>
      <c r="F89"/>
      <c r="G89"/>
      <c r="H89"/>
      <c r="I89"/>
    </row>
    <row r="90" spans="1:9" ht="15">
      <c r="A90"/>
      <c r="B90" t="s">
        <v>555</v>
      </c>
      <c r="C90"/>
      <c r="D90" s="531" t="e">
        <f>SUM(C58)</f>
        <v>#NUM!</v>
      </c>
      <c r="E90"/>
      <c r="F90"/>
      <c r="G90"/>
      <c r="H90"/>
      <c r="I90"/>
    </row>
    <row r="91" spans="1:9" ht="15">
      <c r="A91"/>
      <c r="B91"/>
      <c r="C91"/>
      <c r="D91"/>
      <c r="E91"/>
      <c r="F91"/>
      <c r="G91"/>
      <c r="H91"/>
      <c r="I91"/>
    </row>
    <row r="92" spans="1:9" ht="15">
      <c r="A92" s="528"/>
      <c r="B92" s="528"/>
      <c r="C92" s="529" t="s">
        <v>579</v>
      </c>
      <c r="D92" s="528"/>
      <c r="E92" s="528"/>
      <c r="F92" s="528"/>
      <c r="G92" s="528"/>
      <c r="H92" s="528"/>
      <c r="I92" s="528"/>
    </row>
    <row r="93" spans="1:9" ht="15">
      <c r="A93"/>
      <c r="B93"/>
      <c r="C93"/>
      <c r="D93"/>
      <c r="E93"/>
      <c r="F93"/>
      <c r="G93"/>
      <c r="H93"/>
      <c r="I93"/>
    </row>
    <row r="94" spans="1:9" ht="15">
      <c r="A94"/>
      <c r="B94"/>
      <c r="C94"/>
      <c r="D94"/>
      <c r="E94"/>
      <c r="F94"/>
      <c r="G94"/>
      <c r="H94"/>
      <c r="I94"/>
    </row>
  </sheetData>
  <mergeCells count="2">
    <mergeCell ref="A10:B10"/>
    <mergeCell ref="A24:B24"/>
  </mergeCells>
  <pageMargins left="0.7" right="0.7" top="0.75" bottom="0.75" header="0.3" footer="0.3"/>
  <ignoredErrors>
    <ignoredError sqref="C59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N37"/>
  <sheetViews>
    <sheetView workbookViewId="0">
      <selection activeCell="N3" sqref="N3"/>
    </sheetView>
  </sheetViews>
  <sheetFormatPr defaultColWidth="13.7109375" defaultRowHeight="12.75"/>
  <cols>
    <col min="1" max="1" width="13" style="382" customWidth="1"/>
    <col min="2" max="2" width="10.42578125" style="382" customWidth="1"/>
    <col min="3" max="3" width="12.85546875" style="382" customWidth="1"/>
    <col min="4" max="4" width="7.7109375" style="382" customWidth="1"/>
    <col min="5" max="5" width="11.42578125" style="382" customWidth="1"/>
    <col min="6" max="6" width="13" style="382" customWidth="1"/>
    <col min="7" max="7" width="7.85546875" style="382" customWidth="1"/>
    <col min="8" max="9" width="11.42578125" style="382" customWidth="1"/>
    <col min="10" max="16384" width="13.7109375" style="382"/>
  </cols>
  <sheetData>
    <row r="1" spans="1:14" ht="36.950000000000003" customHeight="1">
      <c r="A1" s="683" t="s">
        <v>60</v>
      </c>
      <c r="B1" s="634"/>
      <c r="C1" s="634"/>
      <c r="D1" s="634"/>
      <c r="E1" s="634"/>
      <c r="F1" s="634"/>
      <c r="G1" s="634"/>
      <c r="H1" s="634"/>
      <c r="I1" s="634"/>
      <c r="J1" s="634"/>
      <c r="K1" s="635"/>
    </row>
    <row r="2" spans="1:14" ht="15" customHeight="1">
      <c r="A2" s="383" t="s">
        <v>61</v>
      </c>
      <c r="B2" s="384"/>
      <c r="C2" s="384"/>
      <c r="D2" s="384"/>
      <c r="E2" s="384"/>
      <c r="F2" s="384"/>
      <c r="G2" s="384"/>
      <c r="H2" s="384"/>
      <c r="I2" s="384"/>
      <c r="J2" s="384"/>
      <c r="K2" s="385"/>
    </row>
    <row r="3" spans="1:14" ht="17.100000000000001" customHeight="1" thickBot="1">
      <c r="A3" s="684" t="s">
        <v>62</v>
      </c>
      <c r="B3" s="685"/>
      <c r="C3" s="685"/>
      <c r="D3" s="685"/>
      <c r="E3" s="685"/>
      <c r="F3" s="685"/>
      <c r="G3" s="685"/>
      <c r="H3" s="685"/>
      <c r="I3" s="685"/>
      <c r="J3" s="685"/>
      <c r="K3" s="686"/>
    </row>
    <row r="4" spans="1:14" ht="27.95" customHeight="1">
      <c r="A4" s="687" t="s">
        <v>63</v>
      </c>
      <c r="B4" s="689" t="s">
        <v>64</v>
      </c>
      <c r="C4" s="690"/>
      <c r="D4" s="691"/>
      <c r="E4" s="689" t="s">
        <v>70</v>
      </c>
      <c r="F4" s="690"/>
      <c r="G4" s="691"/>
      <c r="H4" s="689" t="s">
        <v>71</v>
      </c>
      <c r="I4" s="692"/>
      <c r="J4" s="689" t="s">
        <v>42</v>
      </c>
      <c r="K4" s="693"/>
      <c r="L4" s="386"/>
      <c r="M4" s="386"/>
      <c r="N4" s="386"/>
    </row>
    <row r="5" spans="1:14" ht="69.95" customHeight="1" thickBot="1">
      <c r="A5" s="688"/>
      <c r="B5" s="407" t="s">
        <v>43</v>
      </c>
      <c r="C5" s="408" t="s">
        <v>44</v>
      </c>
      <c r="D5" s="409" t="s">
        <v>45</v>
      </c>
      <c r="E5" s="407" t="s">
        <v>46</v>
      </c>
      <c r="F5" s="408" t="s">
        <v>187</v>
      </c>
      <c r="G5" s="409" t="s">
        <v>188</v>
      </c>
      <c r="H5" s="407" t="s">
        <v>189</v>
      </c>
      <c r="I5" s="409" t="s">
        <v>8</v>
      </c>
      <c r="J5" s="407" t="s">
        <v>50</v>
      </c>
      <c r="K5" s="409" t="s">
        <v>51</v>
      </c>
      <c r="M5" s="382" t="s">
        <v>34</v>
      </c>
    </row>
    <row r="6" spans="1:14" ht="14.1" customHeight="1">
      <c r="A6" s="672" t="s">
        <v>52</v>
      </c>
      <c r="B6" s="695">
        <v>4650</v>
      </c>
      <c r="C6" s="453">
        <f>2440-42</f>
        <v>2398</v>
      </c>
      <c r="D6" s="410">
        <f>C6/B$6</f>
        <v>0.51569892473118284</v>
      </c>
      <c r="E6" s="697">
        <v>11956</v>
      </c>
      <c r="F6" s="444">
        <v>0</v>
      </c>
      <c r="G6" s="411">
        <f>F6/E$6</f>
        <v>0</v>
      </c>
      <c r="H6" s="412">
        <f>+'Attachment H1 (Residential)'!W8</f>
        <v>2324</v>
      </c>
      <c r="I6" s="411">
        <f>H6/(B$6+E$6)</f>
        <v>0.13994941587378057</v>
      </c>
      <c r="J6" s="413" t="s">
        <v>14</v>
      </c>
      <c r="K6" s="414">
        <f>+'Attachment B1 (Last Mile)'!G8</f>
        <v>19.989999999999998</v>
      </c>
      <c r="M6" s="382">
        <f>+H6-F6-C6</f>
        <v>-74</v>
      </c>
    </row>
    <row r="7" spans="1:14" ht="14.1" customHeight="1">
      <c r="A7" s="672"/>
      <c r="B7" s="660"/>
      <c r="C7" s="445">
        <v>27</v>
      </c>
      <c r="D7" s="415">
        <f t="shared" ref="D7:D10" si="0">C7/B$6</f>
        <v>5.8064516129032262E-3</v>
      </c>
      <c r="E7" s="698"/>
      <c r="F7" s="445">
        <v>95</v>
      </c>
      <c r="G7" s="416">
        <f t="shared" ref="G7:G11" si="1">F7/E$6</f>
        <v>7.9458012713282036E-3</v>
      </c>
      <c r="H7" s="417">
        <f>+'Attachment H1 (Residential)'!W12</f>
        <v>28</v>
      </c>
      <c r="I7" s="416">
        <f t="shared" ref="I7:I11" si="2">H7/(B$6+E$6)</f>
        <v>1.6861375406479586E-3</v>
      </c>
      <c r="J7" s="418" t="s">
        <v>15</v>
      </c>
      <c r="K7" s="414">
        <f>+'Attachment B1 (Last Mile)'!G9</f>
        <v>29.99</v>
      </c>
      <c r="M7" s="382">
        <f t="shared" ref="M7:M10" si="3">+H7-F7-C7</f>
        <v>-94</v>
      </c>
    </row>
    <row r="8" spans="1:14" ht="14.1" customHeight="1">
      <c r="A8" s="672"/>
      <c r="B8" s="660"/>
      <c r="C8" s="445">
        <v>20</v>
      </c>
      <c r="D8" s="415">
        <f t="shared" si="0"/>
        <v>4.3010752688172043E-3</v>
      </c>
      <c r="E8" s="698"/>
      <c r="F8" s="445">
        <f>105+1410-389</f>
        <v>1126</v>
      </c>
      <c r="G8" s="416">
        <f t="shared" si="1"/>
        <v>9.4178655068584805E-2</v>
      </c>
      <c r="H8" s="417">
        <f>+'Attachment H1 (Residential)'!W16</f>
        <v>28</v>
      </c>
      <c r="I8" s="416">
        <f t="shared" si="2"/>
        <v>1.6861375406479586E-3</v>
      </c>
      <c r="J8" s="418" t="s">
        <v>16</v>
      </c>
      <c r="K8" s="414">
        <f>+'Attachment B1 (Last Mile)'!G10</f>
        <v>39.79</v>
      </c>
      <c r="M8" s="382">
        <f t="shared" si="3"/>
        <v>-1118</v>
      </c>
    </row>
    <row r="9" spans="1:14" ht="14.1" customHeight="1">
      <c r="A9" s="672"/>
      <c r="B9" s="660"/>
      <c r="C9" s="445">
        <v>8</v>
      </c>
      <c r="D9" s="415">
        <f t="shared" si="0"/>
        <v>1.7204301075268817E-3</v>
      </c>
      <c r="E9" s="698"/>
      <c r="F9" s="445">
        <f>63+221</f>
        <v>284</v>
      </c>
      <c r="G9" s="416">
        <f t="shared" si="1"/>
        <v>2.3753763800602207E-2</v>
      </c>
      <c r="H9" s="417">
        <f>+'Attachment H1 (Residential)'!W20</f>
        <v>28</v>
      </c>
      <c r="I9" s="416">
        <f t="shared" si="2"/>
        <v>1.6861375406479586E-3</v>
      </c>
      <c r="J9" s="418" t="s">
        <v>17</v>
      </c>
      <c r="K9" s="414">
        <f>+'Attachment B1 (Last Mile)'!G11</f>
        <v>0</v>
      </c>
      <c r="M9" s="382">
        <f t="shared" si="3"/>
        <v>-264</v>
      </c>
    </row>
    <row r="10" spans="1:14" ht="14.1" customHeight="1" thickBot="1">
      <c r="A10" s="694"/>
      <c r="B10" s="696"/>
      <c r="C10" s="446">
        <v>5</v>
      </c>
      <c r="D10" s="420">
        <f t="shared" si="0"/>
        <v>1.0752688172043011E-3</v>
      </c>
      <c r="E10" s="698"/>
      <c r="F10" s="446">
        <f>63+115</f>
        <v>178</v>
      </c>
      <c r="G10" s="421">
        <f t="shared" si="1"/>
        <v>1.488792238206758E-2</v>
      </c>
      <c r="H10" s="422">
        <f>+'Attachment H1 (Residential)'!W24</f>
        <v>28</v>
      </c>
      <c r="I10" s="421">
        <f t="shared" si="2"/>
        <v>1.6861375406479586E-3</v>
      </c>
      <c r="J10" s="418" t="s">
        <v>18</v>
      </c>
      <c r="K10" s="414">
        <f>+'Attachment B1 (Last Mile)'!G12</f>
        <v>0</v>
      </c>
      <c r="M10" s="382">
        <f t="shared" si="3"/>
        <v>-155</v>
      </c>
    </row>
    <row r="11" spans="1:14" ht="27" customHeight="1" thickBot="1">
      <c r="A11" s="666" t="s">
        <v>19</v>
      </c>
      <c r="B11" s="667"/>
      <c r="C11" s="423">
        <f>SUM(C6:C10)</f>
        <v>2458</v>
      </c>
      <c r="D11" s="424">
        <f>C11/B6</f>
        <v>0.52860215053763437</v>
      </c>
      <c r="E11" s="425"/>
      <c r="F11" s="423">
        <f>SUM(F6:F10)</f>
        <v>1683</v>
      </c>
      <c r="G11" s="426">
        <f t="shared" si="1"/>
        <v>0.14076614252258279</v>
      </c>
      <c r="H11" s="423">
        <f>SUM(H6:H10)</f>
        <v>2436</v>
      </c>
      <c r="I11" s="426">
        <f t="shared" si="2"/>
        <v>0.14669396603637239</v>
      </c>
      <c r="J11" s="427"/>
      <c r="K11" s="428"/>
    </row>
    <row r="12" spans="1:14" ht="2.1" customHeight="1" thickBot="1">
      <c r="A12" s="699"/>
      <c r="B12" s="700"/>
      <c r="C12" s="700"/>
      <c r="D12" s="700"/>
      <c r="E12" s="700"/>
      <c r="F12" s="700"/>
      <c r="G12" s="700"/>
      <c r="H12" s="700"/>
      <c r="I12" s="700"/>
      <c r="J12" s="700"/>
      <c r="K12" s="701"/>
    </row>
    <row r="13" spans="1:14">
      <c r="A13" s="671" t="s">
        <v>20</v>
      </c>
      <c r="B13" s="680">
        <v>200</v>
      </c>
      <c r="C13" s="450">
        <v>55</v>
      </c>
      <c r="D13" s="429">
        <f>C13/B$13</f>
        <v>0.27500000000000002</v>
      </c>
      <c r="E13" s="674">
        <v>810</v>
      </c>
      <c r="F13" s="447">
        <v>0</v>
      </c>
      <c r="G13" s="411">
        <v>0</v>
      </c>
      <c r="H13" s="412">
        <f>+'Attachment H3 (Business)'!W8</f>
        <v>57</v>
      </c>
      <c r="I13" s="411">
        <f>H13/(E$13+B$13)</f>
        <v>5.6435643564356437E-2</v>
      </c>
      <c r="J13" s="418" t="s">
        <v>14</v>
      </c>
      <c r="K13" s="419">
        <f>+'Attachment B1 (Last Mile)'!G14</f>
        <v>114.8</v>
      </c>
      <c r="M13" s="382">
        <f t="shared" ref="M13:M20" si="4">+H13-F13-C13</f>
        <v>2</v>
      </c>
    </row>
    <row r="14" spans="1:14">
      <c r="A14" s="672"/>
      <c r="B14" s="681"/>
      <c r="C14" s="450">
        <v>2</v>
      </c>
      <c r="D14" s="429">
        <f t="shared" ref="D14:D21" si="5">C14/B$13</f>
        <v>0.01</v>
      </c>
      <c r="E14" s="675"/>
      <c r="F14" s="448">
        <v>0</v>
      </c>
      <c r="G14" s="416">
        <f t="shared" ref="G14:G21" si="6">F14/E$13</f>
        <v>0</v>
      </c>
      <c r="H14" s="417">
        <f>+'Attachment H3 (Business)'!W12</f>
        <v>54</v>
      </c>
      <c r="I14" s="416">
        <f t="shared" ref="I14:I21" si="7">H14/(E$13+B$13)</f>
        <v>5.3465346534653464E-2</v>
      </c>
      <c r="J14" s="418" t="s">
        <v>15</v>
      </c>
      <c r="K14" s="419">
        <f>+'Attachment B1 (Last Mile)'!G15</f>
        <v>213.8</v>
      </c>
      <c r="M14" s="382">
        <f t="shared" si="4"/>
        <v>52</v>
      </c>
    </row>
    <row r="15" spans="1:14">
      <c r="A15" s="672"/>
      <c r="B15" s="681"/>
      <c r="C15" s="450">
        <v>2</v>
      </c>
      <c r="D15" s="429">
        <f t="shared" si="5"/>
        <v>0.01</v>
      </c>
      <c r="E15" s="675"/>
      <c r="F15" s="448">
        <f>6+24</f>
        <v>30</v>
      </c>
      <c r="G15" s="416">
        <f t="shared" si="6"/>
        <v>3.7037037037037035E-2</v>
      </c>
      <c r="H15" s="417">
        <f>+'Attachment H3 (Business)'!W16</f>
        <v>6</v>
      </c>
      <c r="I15" s="416">
        <f t="shared" si="7"/>
        <v>5.9405940594059407E-3</v>
      </c>
      <c r="J15" s="418" t="s">
        <v>16</v>
      </c>
      <c r="K15" s="419">
        <f>+'Attachment B1 (Last Mile)'!G16</f>
        <v>312.60000000000002</v>
      </c>
      <c r="M15" s="382">
        <f t="shared" si="4"/>
        <v>-26</v>
      </c>
    </row>
    <row r="16" spans="1:14">
      <c r="A16" s="672"/>
      <c r="B16" s="681"/>
      <c r="C16" s="450">
        <v>2</v>
      </c>
      <c r="D16" s="429">
        <f t="shared" si="5"/>
        <v>0.01</v>
      </c>
      <c r="E16" s="675"/>
      <c r="F16" s="448">
        <f>4+11</f>
        <v>15</v>
      </c>
      <c r="G16" s="416">
        <f t="shared" si="6"/>
        <v>1.8518518518518517E-2</v>
      </c>
      <c r="H16" s="417">
        <f>+'Attachment H3 (Business)'!W20</f>
        <v>6</v>
      </c>
      <c r="I16" s="416">
        <f t="shared" si="7"/>
        <v>5.9405940594059407E-3</v>
      </c>
      <c r="J16" s="418" t="s">
        <v>17</v>
      </c>
      <c r="K16" s="419">
        <f>+'Attachment B1 (Last Mile)'!G17</f>
        <v>411</v>
      </c>
      <c r="M16" s="382">
        <f t="shared" si="4"/>
        <v>-11</v>
      </c>
    </row>
    <row r="17" spans="1:13">
      <c r="A17" s="672"/>
      <c r="B17" s="681"/>
      <c r="C17" s="450">
        <v>2</v>
      </c>
      <c r="D17" s="429">
        <f t="shared" si="5"/>
        <v>0.01</v>
      </c>
      <c r="E17" s="675"/>
      <c r="F17" s="448">
        <v>10</v>
      </c>
      <c r="G17" s="416">
        <f t="shared" si="6"/>
        <v>1.2345679012345678E-2</v>
      </c>
      <c r="H17" s="417">
        <f>+'Attachment H3 (Business)'!W24</f>
        <v>0</v>
      </c>
      <c r="I17" s="416">
        <f t="shared" si="7"/>
        <v>0</v>
      </c>
      <c r="J17" s="418" t="s">
        <v>18</v>
      </c>
      <c r="K17" s="419">
        <f>+'Attachment B1 (Last Mile)'!G18</f>
        <v>509</v>
      </c>
      <c r="M17" s="382">
        <f t="shared" si="4"/>
        <v>-12</v>
      </c>
    </row>
    <row r="18" spans="1:13">
      <c r="A18" s="672"/>
      <c r="B18" s="681"/>
      <c r="C18" s="450">
        <v>0</v>
      </c>
      <c r="D18" s="429">
        <f t="shared" si="5"/>
        <v>0</v>
      </c>
      <c r="E18" s="675"/>
      <c r="F18" s="448">
        <v>17</v>
      </c>
      <c r="G18" s="416">
        <f t="shared" si="6"/>
        <v>2.0987654320987655E-2</v>
      </c>
      <c r="H18" s="417">
        <f>+'Attachment H3 (Business)'!W28</f>
        <v>20</v>
      </c>
      <c r="I18" s="416">
        <f t="shared" si="7"/>
        <v>1.9801980198019802E-2</v>
      </c>
      <c r="J18" s="430" t="s">
        <v>21</v>
      </c>
      <c r="K18" s="419">
        <f>+'Attachment B1 (Last Mile)'!G19</f>
        <v>100</v>
      </c>
      <c r="M18" s="382">
        <f t="shared" si="4"/>
        <v>3</v>
      </c>
    </row>
    <row r="19" spans="1:13">
      <c r="A19" s="678"/>
      <c r="B19" s="681"/>
      <c r="C19" s="450">
        <v>0</v>
      </c>
      <c r="D19" s="429">
        <f t="shared" si="5"/>
        <v>0</v>
      </c>
      <c r="E19" s="675"/>
      <c r="F19" s="448">
        <v>25</v>
      </c>
      <c r="G19" s="416">
        <f t="shared" si="6"/>
        <v>3.0864197530864196E-2</v>
      </c>
      <c r="H19" s="417">
        <f>+'Attachment H3 (Business)'!W32</f>
        <v>4</v>
      </c>
      <c r="I19" s="416">
        <f t="shared" si="7"/>
        <v>3.9603960396039604E-3</v>
      </c>
      <c r="J19" s="430" t="s">
        <v>22</v>
      </c>
      <c r="K19" s="419">
        <f>+'Attachment B1 (Last Mile)'!G20</f>
        <v>400</v>
      </c>
      <c r="M19" s="382">
        <f t="shared" si="4"/>
        <v>-21</v>
      </c>
    </row>
    <row r="20" spans="1:13" ht="13.5" thickBot="1">
      <c r="A20" s="679"/>
      <c r="B20" s="682"/>
      <c r="C20" s="451">
        <v>0</v>
      </c>
      <c r="D20" s="431">
        <f t="shared" si="5"/>
        <v>0</v>
      </c>
      <c r="E20" s="675"/>
      <c r="F20" s="449">
        <v>7</v>
      </c>
      <c r="G20" s="432">
        <f t="shared" si="6"/>
        <v>8.6419753086419745E-3</v>
      </c>
      <c r="H20" s="417">
        <f>+'Attachment H3 (Business)'!W36</f>
        <v>0</v>
      </c>
      <c r="I20" s="432">
        <f t="shared" si="7"/>
        <v>0</v>
      </c>
      <c r="J20" s="430" t="s">
        <v>23</v>
      </c>
      <c r="K20" s="419">
        <f>+'Attachment B1 (Last Mile)'!G21</f>
        <v>1200</v>
      </c>
      <c r="M20" s="382">
        <f t="shared" si="4"/>
        <v>-7</v>
      </c>
    </row>
    <row r="21" spans="1:13" ht="15.75" thickBot="1">
      <c r="A21" s="666" t="s">
        <v>24</v>
      </c>
      <c r="B21" s="667"/>
      <c r="C21" s="423">
        <f>SUM(C13:C20)</f>
        <v>63</v>
      </c>
      <c r="D21" s="433">
        <f t="shared" si="5"/>
        <v>0.315</v>
      </c>
      <c r="E21" s="434"/>
      <c r="F21" s="435">
        <f>SUM(F13:F20)</f>
        <v>104</v>
      </c>
      <c r="G21" s="436">
        <f t="shared" si="6"/>
        <v>0.12839506172839507</v>
      </c>
      <c r="H21" s="437">
        <f t="shared" ref="H21" si="8">F21+C21</f>
        <v>167</v>
      </c>
      <c r="I21" s="436">
        <f t="shared" si="7"/>
        <v>0.16534653465346535</v>
      </c>
      <c r="J21" s="438"/>
      <c r="K21" s="439"/>
    </row>
    <row r="22" spans="1:13" s="363" customFormat="1" ht="15.75" thickBot="1">
      <c r="A22" s="668"/>
      <c r="B22" s="669"/>
      <c r="C22" s="669"/>
      <c r="D22" s="669"/>
      <c r="E22" s="669"/>
      <c r="F22" s="669"/>
      <c r="G22" s="669"/>
      <c r="H22" s="669"/>
      <c r="I22" s="669"/>
      <c r="J22" s="669"/>
      <c r="K22" s="670"/>
    </row>
    <row r="23" spans="1:13" ht="13.5" thickBot="1">
      <c r="A23" s="671" t="s">
        <v>112</v>
      </c>
      <c r="B23" s="661">
        <v>37</v>
      </c>
      <c r="C23" s="445">
        <v>15</v>
      </c>
      <c r="D23" s="415">
        <f>C23/B$23</f>
        <v>0.40540540540540543</v>
      </c>
      <c r="E23" s="674">
        <v>100</v>
      </c>
      <c r="F23" s="447">
        <f>80-27</f>
        <v>53</v>
      </c>
      <c r="G23" s="411">
        <f>F23/E$23</f>
        <v>0.53</v>
      </c>
      <c r="H23" s="412">
        <f>+'Attachment H2 (Anchor)'!W8</f>
        <v>68</v>
      </c>
      <c r="I23" s="411">
        <f>H23/(E$23+B$23)</f>
        <v>0.49635036496350365</v>
      </c>
      <c r="J23" s="387" t="s">
        <v>14</v>
      </c>
      <c r="K23" s="388">
        <f>+K13</f>
        <v>114.8</v>
      </c>
      <c r="M23" s="382">
        <f t="shared" ref="M23:M27" si="9">+H23-F23-C23</f>
        <v>0</v>
      </c>
    </row>
    <row r="24" spans="1:13" ht="13.5" thickBot="1">
      <c r="A24" s="672"/>
      <c r="B24" s="661"/>
      <c r="C24" s="445">
        <v>6</v>
      </c>
      <c r="D24" s="415">
        <f t="shared" ref="D24:D28" si="10">C24/B$23</f>
        <v>0.16216216216216217</v>
      </c>
      <c r="E24" s="675"/>
      <c r="F24" s="448">
        <v>22</v>
      </c>
      <c r="G24" s="416">
        <f t="shared" ref="G24:G28" si="11">F24/E$23</f>
        <v>0.22</v>
      </c>
      <c r="H24" s="412">
        <f>+'Attachment H2 (Anchor)'!W12</f>
        <v>28</v>
      </c>
      <c r="I24" s="416">
        <f t="shared" ref="I24:I28" si="12">H24/(E$23+B$23)</f>
        <v>0.20437956204379562</v>
      </c>
      <c r="J24" s="387" t="s">
        <v>15</v>
      </c>
      <c r="K24" s="388">
        <f t="shared" ref="K24:K27" si="13">+K14</f>
        <v>213.8</v>
      </c>
      <c r="M24" s="382">
        <f t="shared" si="9"/>
        <v>0</v>
      </c>
    </row>
    <row r="25" spans="1:13" ht="13.5" thickBot="1">
      <c r="A25" s="672"/>
      <c r="B25" s="661"/>
      <c r="C25" s="445">
        <v>3</v>
      </c>
      <c r="D25" s="415">
        <f t="shared" si="10"/>
        <v>8.1081081081081086E-2</v>
      </c>
      <c r="E25" s="675"/>
      <c r="F25" s="448">
        <v>16</v>
      </c>
      <c r="G25" s="416">
        <f t="shared" si="11"/>
        <v>0.16</v>
      </c>
      <c r="H25" s="412">
        <f>+'Attachment H2 (Anchor)'!W16</f>
        <v>19</v>
      </c>
      <c r="I25" s="416">
        <f t="shared" si="12"/>
        <v>0.13868613138686131</v>
      </c>
      <c r="J25" s="387" t="s">
        <v>16</v>
      </c>
      <c r="K25" s="388">
        <f t="shared" si="13"/>
        <v>312.60000000000002</v>
      </c>
      <c r="M25" s="382">
        <f t="shared" si="9"/>
        <v>0</v>
      </c>
    </row>
    <row r="26" spans="1:13" ht="13.5" thickBot="1">
      <c r="A26" s="672"/>
      <c r="B26" s="661"/>
      <c r="C26" s="445">
        <v>2</v>
      </c>
      <c r="D26" s="415">
        <f t="shared" si="10"/>
        <v>5.4054054054054057E-2</v>
      </c>
      <c r="E26" s="675"/>
      <c r="F26" s="448">
        <v>11</v>
      </c>
      <c r="G26" s="416">
        <f t="shared" si="11"/>
        <v>0.11</v>
      </c>
      <c r="H26" s="412">
        <f>+'Attachment H2 (Anchor)'!W20</f>
        <v>13</v>
      </c>
      <c r="I26" s="416">
        <f t="shared" si="12"/>
        <v>9.4890510948905105E-2</v>
      </c>
      <c r="J26" s="387" t="s">
        <v>17</v>
      </c>
      <c r="K26" s="388">
        <f t="shared" si="13"/>
        <v>411</v>
      </c>
      <c r="M26" s="382">
        <f t="shared" si="9"/>
        <v>0</v>
      </c>
    </row>
    <row r="27" spans="1:13" ht="13.5" thickBot="1">
      <c r="A27" s="673"/>
      <c r="B27" s="661"/>
      <c r="C27" s="452">
        <v>1</v>
      </c>
      <c r="D27" s="440">
        <f t="shared" si="10"/>
        <v>2.7027027027027029E-2</v>
      </c>
      <c r="E27" s="675"/>
      <c r="F27" s="449">
        <v>8</v>
      </c>
      <c r="G27" s="432">
        <f t="shared" si="11"/>
        <v>0.08</v>
      </c>
      <c r="H27" s="412">
        <f>+'Attachment H2 (Anchor)'!W24</f>
        <v>9</v>
      </c>
      <c r="I27" s="432">
        <f t="shared" si="12"/>
        <v>6.569343065693431E-2</v>
      </c>
      <c r="J27" s="387" t="s">
        <v>18</v>
      </c>
      <c r="K27" s="388">
        <f t="shared" si="13"/>
        <v>509</v>
      </c>
      <c r="M27" s="382">
        <f t="shared" si="9"/>
        <v>0</v>
      </c>
    </row>
    <row r="28" spans="1:13" ht="15.75" thickBot="1">
      <c r="A28" s="676" t="s">
        <v>113</v>
      </c>
      <c r="B28" s="677"/>
      <c r="C28" s="437">
        <f>SUM(C23:C27)</f>
        <v>27</v>
      </c>
      <c r="D28" s="441">
        <f t="shared" si="10"/>
        <v>0.72972972972972971</v>
      </c>
      <c r="E28" s="442"/>
      <c r="F28" s="443">
        <f>SUM(F23:F27)</f>
        <v>110</v>
      </c>
      <c r="G28" s="436">
        <f t="shared" si="11"/>
        <v>1.1000000000000001</v>
      </c>
      <c r="H28" s="437">
        <f t="shared" ref="H28" si="14">F28+C28</f>
        <v>137</v>
      </c>
      <c r="I28" s="436">
        <f t="shared" si="12"/>
        <v>1</v>
      </c>
      <c r="J28" s="389"/>
      <c r="K28" s="390"/>
    </row>
    <row r="29" spans="1:13">
      <c r="A29" s="391"/>
      <c r="B29" s="392"/>
      <c r="C29" s="392"/>
      <c r="D29" s="392"/>
      <c r="E29" s="392"/>
      <c r="F29" s="392"/>
      <c r="G29" s="392"/>
      <c r="H29" s="392"/>
      <c r="I29" s="392"/>
      <c r="J29" s="392"/>
      <c r="K29" s="393"/>
    </row>
    <row r="30" spans="1:13">
      <c r="A30" s="658" t="s">
        <v>114</v>
      </c>
      <c r="B30" s="660">
        <f>B13+B6</f>
        <v>4850</v>
      </c>
      <c r="C30" s="450">
        <v>24</v>
      </c>
      <c r="D30" s="394">
        <f>C30/B30</f>
        <v>4.9484536082474223E-3</v>
      </c>
      <c r="E30" s="662">
        <f>E6+E13</f>
        <v>12766</v>
      </c>
      <c r="F30" s="454">
        <v>1005</v>
      </c>
      <c r="G30" s="394">
        <f>F30/E30</f>
        <v>7.8724737584208046E-2</v>
      </c>
      <c r="H30" s="395">
        <f>F30+C30</f>
        <v>1029</v>
      </c>
      <c r="I30" s="394">
        <f>H30/(E30+B30)</f>
        <v>5.8412806539509539E-2</v>
      </c>
      <c r="J30" s="396" t="s">
        <v>115</v>
      </c>
      <c r="K30" s="397">
        <f>+'Attachment B2 (Middle Mile)'!F6</f>
        <v>19.989999999999998</v>
      </c>
      <c r="M30" s="382">
        <f t="shared" ref="M30:M31" si="15">+H30-F30-C30</f>
        <v>0</v>
      </c>
    </row>
    <row r="31" spans="1:13">
      <c r="A31" s="658"/>
      <c r="B31" s="661"/>
      <c r="C31" s="450">
        <v>1</v>
      </c>
      <c r="D31" s="394">
        <f>C31/B30</f>
        <v>2.0618556701030929E-4</v>
      </c>
      <c r="E31" s="663"/>
      <c r="F31" s="454">
        <v>36</v>
      </c>
      <c r="G31" s="394">
        <f>F31/E30</f>
        <v>2.8199906000313333E-3</v>
      </c>
      <c r="H31" s="395">
        <f>C31+F31</f>
        <v>37</v>
      </c>
      <c r="I31" s="394">
        <f>H31/(E30+B30)</f>
        <v>2.1003633060853767E-3</v>
      </c>
      <c r="J31" s="396" t="s">
        <v>116</v>
      </c>
      <c r="K31" s="397">
        <f>+'Attachment B2 (Middle Mile)'!F7</f>
        <v>99.99</v>
      </c>
      <c r="M31" s="382">
        <f t="shared" si="15"/>
        <v>0</v>
      </c>
    </row>
    <row r="32" spans="1:13" ht="15">
      <c r="A32" s="658"/>
      <c r="B32" s="398"/>
      <c r="C32" s="398"/>
      <c r="D32" s="398"/>
      <c r="E32" s="399"/>
      <c r="F32" s="400"/>
      <c r="G32" s="400"/>
      <c r="H32" s="395">
        <v>2</v>
      </c>
      <c r="I32" s="398"/>
      <c r="J32" s="396" t="s">
        <v>117</v>
      </c>
      <c r="K32" s="397">
        <f>+'Attachment B2 (Middle Mile)'!F8</f>
        <v>1200</v>
      </c>
    </row>
    <row r="33" spans="1:11" ht="15">
      <c r="A33" s="658"/>
      <c r="B33" s="398"/>
      <c r="C33" s="398"/>
      <c r="D33" s="398"/>
      <c r="E33" s="399"/>
      <c r="F33" s="400"/>
      <c r="G33" s="400"/>
      <c r="H33" s="395">
        <v>1</v>
      </c>
      <c r="I33" s="398"/>
      <c r="J33" s="396" t="s">
        <v>66</v>
      </c>
      <c r="K33" s="397">
        <f>+'Attachment B2 (Middle Mile)'!F9</f>
        <v>1600</v>
      </c>
    </row>
    <row r="34" spans="1:11" ht="15.75" thickBot="1">
      <c r="A34" s="659"/>
      <c r="B34" s="401"/>
      <c r="C34" s="401"/>
      <c r="D34" s="401"/>
      <c r="E34" s="402"/>
      <c r="F34" s="403"/>
      <c r="G34" s="403"/>
      <c r="H34" s="404">
        <v>1</v>
      </c>
      <c r="I34" s="401"/>
      <c r="J34" s="405" t="s">
        <v>67</v>
      </c>
      <c r="K34" s="397">
        <f>+'Attachment B2 (Middle Mile)'!F10</f>
        <v>3600</v>
      </c>
    </row>
    <row r="35" spans="1:11" ht="15">
      <c r="A35" s="664"/>
      <c r="B35" s="665"/>
      <c r="C35" s="665"/>
      <c r="D35" s="665"/>
      <c r="E35" s="665"/>
      <c r="F35" s="665"/>
      <c r="G35" s="665"/>
      <c r="H35" s="665"/>
      <c r="I35" s="665"/>
      <c r="J35" s="665"/>
      <c r="K35" s="665"/>
    </row>
    <row r="36" spans="1:11">
      <c r="A36" s="406"/>
    </row>
    <row r="37" spans="1:11">
      <c r="A37" s="382" t="s">
        <v>38</v>
      </c>
    </row>
  </sheetData>
  <mergeCells count="25">
    <mergeCell ref="A13:A20"/>
    <mergeCell ref="B13:B20"/>
    <mergeCell ref="E13:E20"/>
    <mergeCell ref="A1:K1"/>
    <mergeCell ref="A3:K3"/>
    <mergeCell ref="A4:A5"/>
    <mergeCell ref="B4:D4"/>
    <mergeCell ref="E4:G4"/>
    <mergeCell ref="H4:I4"/>
    <mergeCell ref="J4:K4"/>
    <mergeCell ref="A6:A10"/>
    <mergeCell ref="B6:B10"/>
    <mergeCell ref="E6:E10"/>
    <mergeCell ref="A11:B11"/>
    <mergeCell ref="A12:K12"/>
    <mergeCell ref="A30:A34"/>
    <mergeCell ref="B30:B31"/>
    <mergeCell ref="E30:E31"/>
    <mergeCell ref="A35:K35"/>
    <mergeCell ref="A21:B21"/>
    <mergeCell ref="A22:K22"/>
    <mergeCell ref="A23:A27"/>
    <mergeCell ref="B23:B27"/>
    <mergeCell ref="E23:E27"/>
    <mergeCell ref="A28:B28"/>
  </mergeCells>
  <phoneticPr fontId="4" type="noConversion"/>
  <pageMargins left="0.2" right="0.2" top="0.25" bottom="0.2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AB43"/>
  <sheetViews>
    <sheetView zoomScale="150" workbookViewId="0">
      <selection activeCell="D7" sqref="D7"/>
    </sheetView>
  </sheetViews>
  <sheetFormatPr defaultColWidth="13.7109375" defaultRowHeight="12.75"/>
  <cols>
    <col min="1" max="1" width="21.140625" style="232" customWidth="1"/>
    <col min="2" max="2" width="0.7109375" style="232" customWidth="1"/>
    <col min="3" max="3" width="6" style="216" customWidth="1"/>
    <col min="4" max="18" width="5.28515625" style="217" customWidth="1"/>
    <col min="19" max="19" width="7.140625" style="217" customWidth="1"/>
    <col min="20" max="20" width="5.5703125" style="217" customWidth="1"/>
    <col min="21" max="22" width="5.28515625" style="217" customWidth="1"/>
    <col min="23" max="23" width="7" style="217" customWidth="1"/>
    <col min="24" max="26" width="5.28515625" style="217" customWidth="1"/>
    <col min="27" max="27" width="7" style="217" customWidth="1"/>
    <col min="28" max="28" width="5.28515625" style="217" customWidth="1"/>
    <col min="29" max="16384" width="13.7109375" style="216"/>
  </cols>
  <sheetData>
    <row r="1" spans="1:28" ht="15.75">
      <c r="A1" s="215" t="s">
        <v>246</v>
      </c>
      <c r="B1" s="215"/>
    </row>
    <row r="3" spans="1:28" ht="20.100000000000001" customHeight="1">
      <c r="A3" s="702" t="s">
        <v>156</v>
      </c>
      <c r="B3" s="253"/>
      <c r="C3" s="654" t="s">
        <v>248</v>
      </c>
      <c r="D3" s="648" t="s">
        <v>249</v>
      </c>
      <c r="E3" s="648"/>
      <c r="F3" s="648"/>
      <c r="G3" s="648"/>
      <c r="H3" s="648" t="s">
        <v>250</v>
      </c>
      <c r="I3" s="648"/>
      <c r="J3" s="648"/>
      <c r="K3" s="648"/>
      <c r="L3" s="648" t="s">
        <v>251</v>
      </c>
      <c r="M3" s="648"/>
      <c r="N3" s="648"/>
      <c r="O3" s="648"/>
      <c r="P3" s="648" t="s">
        <v>252</v>
      </c>
      <c r="Q3" s="648"/>
      <c r="R3" s="648"/>
      <c r="S3" s="648"/>
      <c r="T3" s="648" t="s">
        <v>121</v>
      </c>
      <c r="U3" s="648"/>
      <c r="V3" s="648"/>
      <c r="W3" s="648"/>
      <c r="X3" s="649" t="s">
        <v>604</v>
      </c>
      <c r="Y3" s="650"/>
      <c r="Z3" s="650"/>
      <c r="AA3" s="650"/>
      <c r="AB3" s="651"/>
    </row>
    <row r="4" spans="1:28" ht="20.100000000000001" customHeight="1">
      <c r="A4" s="703"/>
      <c r="B4" s="243"/>
      <c r="C4" s="704"/>
      <c r="D4" s="220" t="s">
        <v>122</v>
      </c>
      <c r="E4" s="220" t="s">
        <v>260</v>
      </c>
      <c r="F4" s="220" t="s">
        <v>261</v>
      </c>
      <c r="G4" s="254" t="s">
        <v>262</v>
      </c>
      <c r="H4" s="220" t="s">
        <v>122</v>
      </c>
      <c r="I4" s="220" t="s">
        <v>260</v>
      </c>
      <c r="J4" s="220" t="s">
        <v>261</v>
      </c>
      <c r="K4" s="254" t="s">
        <v>262</v>
      </c>
      <c r="L4" s="220" t="s">
        <v>122</v>
      </c>
      <c r="M4" s="220" t="s">
        <v>260</v>
      </c>
      <c r="N4" s="220" t="s">
        <v>261</v>
      </c>
      <c r="O4" s="254" t="s">
        <v>262</v>
      </c>
      <c r="P4" s="220" t="s">
        <v>122</v>
      </c>
      <c r="Q4" s="220" t="s">
        <v>260</v>
      </c>
      <c r="R4" s="220" t="s">
        <v>261</v>
      </c>
      <c r="S4" s="254" t="s">
        <v>262</v>
      </c>
      <c r="T4" s="220" t="s">
        <v>263</v>
      </c>
      <c r="U4" s="220" t="s">
        <v>260</v>
      </c>
      <c r="V4" s="220" t="s">
        <v>261</v>
      </c>
      <c r="W4" s="220" t="s">
        <v>262</v>
      </c>
      <c r="X4" s="546">
        <v>6</v>
      </c>
      <c r="Y4" s="546">
        <v>7</v>
      </c>
      <c r="Z4" s="546">
        <v>8</v>
      </c>
      <c r="AA4" s="546">
        <v>9</v>
      </c>
      <c r="AB4" s="546">
        <v>10</v>
      </c>
    </row>
    <row r="5" spans="1:28">
      <c r="A5" s="222" t="s">
        <v>264</v>
      </c>
      <c r="B5" s="222"/>
      <c r="C5" s="255"/>
      <c r="D5" s="245"/>
      <c r="E5" s="224"/>
      <c r="F5" s="224"/>
      <c r="G5" s="224"/>
      <c r="H5" s="245"/>
      <c r="I5" s="224"/>
      <c r="J5" s="224"/>
      <c r="K5" s="224"/>
      <c r="L5" s="245"/>
      <c r="M5" s="224"/>
      <c r="N5" s="224"/>
      <c r="O5" s="224"/>
      <c r="P5" s="245"/>
      <c r="Q5" s="224"/>
      <c r="R5" s="224"/>
      <c r="S5" s="224"/>
      <c r="T5" s="245"/>
      <c r="U5" s="224"/>
      <c r="V5" s="224"/>
      <c r="W5" s="225"/>
      <c r="X5" s="245"/>
      <c r="Y5" s="224"/>
      <c r="Z5" s="224"/>
      <c r="AA5" s="225"/>
      <c r="AB5" s="245"/>
    </row>
    <row r="6" spans="1:28">
      <c r="A6" s="256" t="s">
        <v>476</v>
      </c>
      <c r="B6" s="256"/>
      <c r="C6" s="257"/>
      <c r="D6" s="258"/>
      <c r="E6" s="259"/>
      <c r="F6" s="259"/>
      <c r="G6" s="259"/>
      <c r="H6" s="258"/>
      <c r="I6" s="259"/>
      <c r="J6" s="259"/>
      <c r="K6" s="259"/>
      <c r="L6" s="258"/>
      <c r="M6" s="259"/>
      <c r="N6" s="259"/>
      <c r="O6" s="259"/>
      <c r="P6" s="258"/>
      <c r="Q6" s="259"/>
      <c r="R6" s="259"/>
      <c r="S6" s="259"/>
      <c r="T6" s="258"/>
      <c r="U6" s="259"/>
      <c r="V6" s="259"/>
      <c r="W6" s="260"/>
      <c r="X6" s="258"/>
      <c r="Y6" s="259"/>
      <c r="Z6" s="259"/>
      <c r="AA6" s="260"/>
      <c r="AB6" s="258"/>
    </row>
    <row r="7" spans="1:28" ht="18" customHeight="1">
      <c r="A7" s="226" t="s">
        <v>266</v>
      </c>
      <c r="B7" s="226"/>
      <c r="C7" s="220"/>
      <c r="D7" s="566">
        <f>ROUNDUP('Key Assumptions'!D6,0)</f>
        <v>0</v>
      </c>
      <c r="E7" s="566">
        <f>ROUNDUP('Key Assumptions'!E6,0)</f>
        <v>0</v>
      </c>
      <c r="F7" s="566">
        <f>ROUNDUP('Key Assumptions'!F6,0)</f>
        <v>558</v>
      </c>
      <c r="G7" s="566">
        <f>ROUNDUP('Key Assumptions'!G6,0)</f>
        <v>558</v>
      </c>
      <c r="H7" s="566">
        <f>ROUNDUP('Key Assumptions'!H6,0)</f>
        <v>302</v>
      </c>
      <c r="I7" s="566">
        <f>ROUNDUP('Key Assumptions'!I6,0)</f>
        <v>302</v>
      </c>
      <c r="J7" s="566">
        <f>ROUNDUP('Key Assumptions'!J6,0)</f>
        <v>302</v>
      </c>
      <c r="K7" s="566">
        <f>ROUNDUP('Key Assumptions'!K6,0)</f>
        <v>302</v>
      </c>
      <c r="L7" s="566">
        <f>ROUNDUP('Key Assumptions'!L6,0)</f>
        <v>0</v>
      </c>
      <c r="M7" s="566">
        <f>ROUNDUP('Key Assumptions'!M6,0)</f>
        <v>0</v>
      </c>
      <c r="N7" s="566">
        <f>ROUNDUP('Key Assumptions'!N6,0)</f>
        <v>0</v>
      </c>
      <c r="O7" s="566">
        <f>ROUNDUP('Key Assumptions'!O6,0)</f>
        <v>0</v>
      </c>
      <c r="P7" s="566">
        <f>ROUNDUP('Key Assumptions'!P6,0)</f>
        <v>0</v>
      </c>
      <c r="Q7" s="566">
        <f>ROUNDUP('Key Assumptions'!Q6,0)</f>
        <v>0</v>
      </c>
      <c r="R7" s="566">
        <f>ROUNDUP('Key Assumptions'!R6,0)</f>
        <v>0</v>
      </c>
      <c r="S7" s="566">
        <f>ROUNDUP('Key Assumptions'!S6,0)</f>
        <v>0</v>
      </c>
      <c r="T7" s="566">
        <f>ROUNDUP('Key Assumptions'!T6,0)</f>
        <v>0</v>
      </c>
      <c r="U7" s="566">
        <f>ROUNDUP('Key Assumptions'!U6,0)</f>
        <v>0</v>
      </c>
      <c r="V7" s="566">
        <f>ROUNDUP('Key Assumptions'!V6,0)</f>
        <v>0</v>
      </c>
      <c r="W7" s="566">
        <f>ROUNDUP('Key Assumptions'!W6,0)</f>
        <v>0</v>
      </c>
      <c r="X7" s="566">
        <f>ROUNDUP('Key Assumptions'!X6,0)</f>
        <v>0</v>
      </c>
      <c r="Y7" s="566">
        <f>ROUNDUP('Key Assumptions'!Y6,0)</f>
        <v>0</v>
      </c>
      <c r="Z7" s="566">
        <f>ROUNDUP('Key Assumptions'!Z6,0)</f>
        <v>0</v>
      </c>
      <c r="AA7" s="566">
        <f>ROUNDUP('Key Assumptions'!AA6,0)</f>
        <v>0</v>
      </c>
      <c r="AB7" s="566">
        <f>ROUNDUP('Key Assumptions'!AB6,0)</f>
        <v>0</v>
      </c>
    </row>
    <row r="8" spans="1:28" ht="18" customHeight="1">
      <c r="A8" s="226" t="s">
        <v>280</v>
      </c>
      <c r="B8" s="226"/>
      <c r="C8" s="293">
        <v>0</v>
      </c>
      <c r="D8" s="220">
        <f>C8+D7</f>
        <v>0</v>
      </c>
      <c r="E8" s="220">
        <f>D8+E7</f>
        <v>0</v>
      </c>
      <c r="F8" s="220">
        <f>E8+F7</f>
        <v>558</v>
      </c>
      <c r="G8" s="220">
        <f t="shared" ref="G8:W8" si="0">F8+G7</f>
        <v>1116</v>
      </c>
      <c r="H8" s="220">
        <f t="shared" si="0"/>
        <v>1418</v>
      </c>
      <c r="I8" s="220">
        <f t="shared" si="0"/>
        <v>1720</v>
      </c>
      <c r="J8" s="220">
        <f t="shared" si="0"/>
        <v>2022</v>
      </c>
      <c r="K8" s="220">
        <f t="shared" si="0"/>
        <v>2324</v>
      </c>
      <c r="L8" s="220">
        <f t="shared" si="0"/>
        <v>2324</v>
      </c>
      <c r="M8" s="220">
        <f t="shared" si="0"/>
        <v>2324</v>
      </c>
      <c r="N8" s="220">
        <f t="shared" si="0"/>
        <v>2324</v>
      </c>
      <c r="O8" s="220">
        <f t="shared" si="0"/>
        <v>2324</v>
      </c>
      <c r="P8" s="220">
        <f t="shared" si="0"/>
        <v>2324</v>
      </c>
      <c r="Q8" s="220">
        <f t="shared" si="0"/>
        <v>2324</v>
      </c>
      <c r="R8" s="220">
        <f t="shared" si="0"/>
        <v>2324</v>
      </c>
      <c r="S8" s="220">
        <f t="shared" si="0"/>
        <v>2324</v>
      </c>
      <c r="T8" s="220">
        <f t="shared" si="0"/>
        <v>2324</v>
      </c>
      <c r="U8" s="220">
        <f t="shared" si="0"/>
        <v>2324</v>
      </c>
      <c r="V8" s="220">
        <f t="shared" si="0"/>
        <v>2324</v>
      </c>
      <c r="W8" s="220">
        <f t="shared" si="0"/>
        <v>2324</v>
      </c>
      <c r="X8" s="489">
        <f t="shared" ref="X8" si="1">W8+X7</f>
        <v>2324</v>
      </c>
      <c r="Y8" s="489">
        <f t="shared" ref="Y8" si="2">X8+Y7</f>
        <v>2324</v>
      </c>
      <c r="Z8" s="489">
        <f t="shared" ref="Z8" si="3">Y8+Z7</f>
        <v>2324</v>
      </c>
      <c r="AA8" s="489">
        <f t="shared" ref="AA8" si="4">Z8+AA7</f>
        <v>2324</v>
      </c>
      <c r="AB8" s="489">
        <f t="shared" ref="AB8" si="5">AA8+AB7</f>
        <v>2324</v>
      </c>
    </row>
    <row r="9" spans="1:28">
      <c r="A9" s="222" t="s">
        <v>268</v>
      </c>
      <c r="B9" s="222"/>
      <c r="C9" s="244"/>
      <c r="D9" s="245"/>
      <c r="E9" s="224"/>
      <c r="F9" s="224"/>
      <c r="G9" s="224"/>
      <c r="H9" s="245"/>
      <c r="I9" s="224"/>
      <c r="J9" s="224"/>
      <c r="K9" s="224"/>
      <c r="L9" s="245"/>
      <c r="M9" s="224"/>
      <c r="N9" s="224"/>
      <c r="O9" s="224"/>
      <c r="P9" s="245"/>
      <c r="Q9" s="224"/>
      <c r="R9" s="224"/>
      <c r="S9" s="224"/>
      <c r="T9" s="245"/>
      <c r="U9" s="224"/>
      <c r="V9" s="224"/>
      <c r="W9" s="225"/>
      <c r="X9" s="245"/>
      <c r="Y9" s="224"/>
      <c r="Z9" s="224"/>
      <c r="AA9" s="225"/>
      <c r="AB9" s="245"/>
    </row>
    <row r="10" spans="1:28">
      <c r="A10" s="256" t="s">
        <v>477</v>
      </c>
      <c r="B10" s="256"/>
      <c r="C10" s="257"/>
      <c r="D10" s="258"/>
      <c r="E10" s="259"/>
      <c r="F10" s="259"/>
      <c r="G10" s="259"/>
      <c r="H10" s="258"/>
      <c r="I10" s="259"/>
      <c r="J10" s="259"/>
      <c r="K10" s="259"/>
      <c r="L10" s="258"/>
      <c r="M10" s="259"/>
      <c r="N10" s="259"/>
      <c r="O10" s="259"/>
      <c r="P10" s="258"/>
      <c r="Q10" s="259"/>
      <c r="R10" s="259"/>
      <c r="S10" s="259"/>
      <c r="T10" s="258"/>
      <c r="U10" s="259"/>
      <c r="V10" s="259"/>
      <c r="W10" s="260"/>
      <c r="X10" s="258"/>
      <c r="Y10" s="259"/>
      <c r="Z10" s="259"/>
      <c r="AA10" s="260"/>
      <c r="AB10" s="258"/>
    </row>
    <row r="11" spans="1:28" ht="18" customHeight="1">
      <c r="A11" s="226" t="s">
        <v>266</v>
      </c>
      <c r="B11" s="226"/>
      <c r="C11" s="220"/>
      <c r="D11" s="566">
        <f>ROUNDUP('Key Assumptions'!D7,0)</f>
        <v>0</v>
      </c>
      <c r="E11" s="566">
        <f>ROUNDUP('Key Assumptions'!E7,0)</f>
        <v>0</v>
      </c>
      <c r="F11" s="566">
        <f>ROUNDUP('Key Assumptions'!F7,0)</f>
        <v>6</v>
      </c>
      <c r="G11" s="566">
        <f>ROUNDUP('Key Assumptions'!G7,0)</f>
        <v>6</v>
      </c>
      <c r="H11" s="566">
        <f>ROUNDUP('Key Assumptions'!H7,0)</f>
        <v>4</v>
      </c>
      <c r="I11" s="566">
        <f>ROUNDUP('Key Assumptions'!I7,0)</f>
        <v>4</v>
      </c>
      <c r="J11" s="566">
        <f>ROUNDUP('Key Assumptions'!J7,0)</f>
        <v>4</v>
      </c>
      <c r="K11" s="566">
        <f>ROUNDUP('Key Assumptions'!K7,0)</f>
        <v>4</v>
      </c>
      <c r="L11" s="566">
        <f>ROUNDUP('Key Assumptions'!L7,0)</f>
        <v>0</v>
      </c>
      <c r="M11" s="566">
        <f>ROUNDUP('Key Assumptions'!M7,0)</f>
        <v>0</v>
      </c>
      <c r="N11" s="566">
        <f>ROUNDUP('Key Assumptions'!N7,0)</f>
        <v>0</v>
      </c>
      <c r="O11" s="566">
        <f>ROUNDUP('Key Assumptions'!O7,0)</f>
        <v>0</v>
      </c>
      <c r="P11" s="566">
        <f>ROUNDUP('Key Assumptions'!P7,0)</f>
        <v>0</v>
      </c>
      <c r="Q11" s="566">
        <f>ROUNDUP('Key Assumptions'!Q7,0)</f>
        <v>0</v>
      </c>
      <c r="R11" s="566">
        <f>ROUNDUP('Key Assumptions'!R7,0)</f>
        <v>0</v>
      </c>
      <c r="S11" s="566">
        <f>ROUNDUP('Key Assumptions'!S7,0)</f>
        <v>0</v>
      </c>
      <c r="T11" s="566">
        <f>ROUNDUP('Key Assumptions'!T7,0)</f>
        <v>0</v>
      </c>
      <c r="U11" s="566">
        <f>ROUNDUP('Key Assumptions'!U7,0)</f>
        <v>0</v>
      </c>
      <c r="V11" s="566">
        <f>ROUNDUP('Key Assumptions'!V7,0)</f>
        <v>0</v>
      </c>
      <c r="W11" s="566">
        <f>ROUNDUP('Key Assumptions'!W7,0)</f>
        <v>0</v>
      </c>
      <c r="X11" s="566">
        <f>ROUNDUP('Key Assumptions'!X7,0)</f>
        <v>0</v>
      </c>
      <c r="Y11" s="566">
        <f>ROUNDUP('Key Assumptions'!Y7,0)</f>
        <v>0</v>
      </c>
      <c r="Z11" s="566">
        <f>ROUNDUP('Key Assumptions'!Z7,0)</f>
        <v>0</v>
      </c>
      <c r="AA11" s="566">
        <f>ROUNDUP('Key Assumptions'!AA7,0)</f>
        <v>0</v>
      </c>
      <c r="AB11" s="566">
        <f>ROUNDUP('Key Assumptions'!AB7,0)</f>
        <v>0</v>
      </c>
    </row>
    <row r="12" spans="1:28" ht="18" customHeight="1">
      <c r="A12" s="226" t="s">
        <v>267</v>
      </c>
      <c r="B12" s="226"/>
      <c r="C12" s="293">
        <v>0</v>
      </c>
      <c r="D12" s="220">
        <f t="shared" ref="D12:G12" si="6">C12+D11</f>
        <v>0</v>
      </c>
      <c r="E12" s="220">
        <f t="shared" si="6"/>
        <v>0</v>
      </c>
      <c r="F12" s="220">
        <f t="shared" si="6"/>
        <v>6</v>
      </c>
      <c r="G12" s="220">
        <f t="shared" si="6"/>
        <v>12</v>
      </c>
      <c r="H12" s="220">
        <f>G12+H11</f>
        <v>16</v>
      </c>
      <c r="I12" s="220">
        <f t="shared" ref="I12:W12" si="7">H12+I11</f>
        <v>20</v>
      </c>
      <c r="J12" s="220">
        <f t="shared" si="7"/>
        <v>24</v>
      </c>
      <c r="K12" s="220">
        <f t="shared" si="7"/>
        <v>28</v>
      </c>
      <c r="L12" s="220">
        <f t="shared" si="7"/>
        <v>28</v>
      </c>
      <c r="M12" s="220">
        <f t="shared" si="7"/>
        <v>28</v>
      </c>
      <c r="N12" s="220">
        <f t="shared" si="7"/>
        <v>28</v>
      </c>
      <c r="O12" s="220">
        <f t="shared" si="7"/>
        <v>28</v>
      </c>
      <c r="P12" s="220">
        <f t="shared" si="7"/>
        <v>28</v>
      </c>
      <c r="Q12" s="220">
        <f t="shared" si="7"/>
        <v>28</v>
      </c>
      <c r="R12" s="220">
        <f t="shared" si="7"/>
        <v>28</v>
      </c>
      <c r="S12" s="220">
        <f t="shared" si="7"/>
        <v>28</v>
      </c>
      <c r="T12" s="220">
        <f t="shared" si="7"/>
        <v>28</v>
      </c>
      <c r="U12" s="220">
        <f t="shared" si="7"/>
        <v>28</v>
      </c>
      <c r="V12" s="220">
        <f t="shared" si="7"/>
        <v>28</v>
      </c>
      <c r="W12" s="220">
        <f t="shared" si="7"/>
        <v>28</v>
      </c>
      <c r="X12" s="489">
        <f t="shared" ref="X12" si="8">W12+X11</f>
        <v>28</v>
      </c>
      <c r="Y12" s="489">
        <f t="shared" ref="Y12" si="9">X12+Y11</f>
        <v>28</v>
      </c>
      <c r="Z12" s="489">
        <f t="shared" ref="Z12" si="10">Y12+Z11</f>
        <v>28</v>
      </c>
      <c r="AA12" s="489">
        <f t="shared" ref="AA12" si="11">Z12+AA11</f>
        <v>28</v>
      </c>
      <c r="AB12" s="489">
        <f t="shared" ref="AB12" si="12">AA12+AB11</f>
        <v>28</v>
      </c>
    </row>
    <row r="13" spans="1:28">
      <c r="A13" s="222" t="s">
        <v>270</v>
      </c>
      <c r="B13" s="222"/>
      <c r="C13" s="244"/>
      <c r="D13" s="245"/>
      <c r="E13" s="224"/>
      <c r="F13" s="224"/>
      <c r="G13" s="224"/>
      <c r="H13" s="245"/>
      <c r="I13" s="224"/>
      <c r="J13" s="224"/>
      <c r="K13" s="224"/>
      <c r="L13" s="245"/>
      <c r="M13" s="224"/>
      <c r="N13" s="224"/>
      <c r="O13" s="224"/>
      <c r="P13" s="245"/>
      <c r="Q13" s="224"/>
      <c r="R13" s="224"/>
      <c r="S13" s="224"/>
      <c r="T13" s="245"/>
      <c r="U13" s="224"/>
      <c r="V13" s="224"/>
      <c r="W13" s="225"/>
      <c r="X13" s="245"/>
      <c r="Y13" s="224"/>
      <c r="Z13" s="224"/>
      <c r="AA13" s="225"/>
      <c r="AB13" s="245"/>
    </row>
    <row r="14" spans="1:28">
      <c r="A14" s="256" t="s">
        <v>478</v>
      </c>
      <c r="B14" s="256"/>
      <c r="C14" s="257"/>
      <c r="D14" s="258"/>
      <c r="E14" s="259"/>
      <c r="F14" s="259"/>
      <c r="G14" s="259"/>
      <c r="H14" s="258"/>
      <c r="I14" s="259"/>
      <c r="J14" s="259"/>
      <c r="K14" s="259"/>
      <c r="L14" s="258"/>
      <c r="M14" s="259"/>
      <c r="N14" s="259"/>
      <c r="O14" s="259"/>
      <c r="P14" s="258"/>
      <c r="Q14" s="259"/>
      <c r="R14" s="259"/>
      <c r="S14" s="259"/>
      <c r="T14" s="258"/>
      <c r="U14" s="259"/>
      <c r="V14" s="259"/>
      <c r="W14" s="260"/>
      <c r="X14" s="258"/>
      <c r="Y14" s="259"/>
      <c r="Z14" s="259"/>
      <c r="AA14" s="260"/>
      <c r="AB14" s="258"/>
    </row>
    <row r="15" spans="1:28" ht="18" customHeight="1">
      <c r="A15" s="226" t="s">
        <v>266</v>
      </c>
      <c r="B15" s="226"/>
      <c r="C15" s="231"/>
      <c r="D15" s="566">
        <f>ROUNDUP('Key Assumptions'!D8,0)</f>
        <v>0</v>
      </c>
      <c r="E15" s="566">
        <f>ROUNDUP('Key Assumptions'!E8,0)</f>
        <v>0</v>
      </c>
      <c r="F15" s="566">
        <f>ROUNDUP('Key Assumptions'!F8,0)</f>
        <v>6</v>
      </c>
      <c r="G15" s="566">
        <f>ROUNDUP('Key Assumptions'!G8,0)</f>
        <v>6</v>
      </c>
      <c r="H15" s="566">
        <f>ROUNDUP('Key Assumptions'!H8,0)</f>
        <v>4</v>
      </c>
      <c r="I15" s="566">
        <f>ROUNDUP('Key Assumptions'!I8,0)</f>
        <v>4</v>
      </c>
      <c r="J15" s="566">
        <f>ROUNDUP('Key Assumptions'!J8,0)</f>
        <v>4</v>
      </c>
      <c r="K15" s="566">
        <f>ROUNDUP('Key Assumptions'!K8,0)</f>
        <v>4</v>
      </c>
      <c r="L15" s="566">
        <f>ROUNDUP('Key Assumptions'!L8,0)</f>
        <v>0</v>
      </c>
      <c r="M15" s="566">
        <f>ROUNDUP('Key Assumptions'!M8,0)</f>
        <v>0</v>
      </c>
      <c r="N15" s="566">
        <f>ROUNDUP('Key Assumptions'!N8,0)</f>
        <v>0</v>
      </c>
      <c r="O15" s="566">
        <f>ROUNDUP('Key Assumptions'!O8,0)</f>
        <v>0</v>
      </c>
      <c r="P15" s="566">
        <f>ROUNDUP('Key Assumptions'!P8,0)</f>
        <v>0</v>
      </c>
      <c r="Q15" s="566">
        <f>ROUNDUP('Key Assumptions'!Q8,0)</f>
        <v>0</v>
      </c>
      <c r="R15" s="566">
        <f>ROUNDUP('Key Assumptions'!R8,0)</f>
        <v>0</v>
      </c>
      <c r="S15" s="566">
        <f>ROUNDUP('Key Assumptions'!S8,0)</f>
        <v>0</v>
      </c>
      <c r="T15" s="566">
        <f>ROUNDUP('Key Assumptions'!T8,0)</f>
        <v>0</v>
      </c>
      <c r="U15" s="566">
        <f>ROUNDUP('Key Assumptions'!U8,0)</f>
        <v>0</v>
      </c>
      <c r="V15" s="566">
        <f>ROUNDUP('Key Assumptions'!V8,0)</f>
        <v>0</v>
      </c>
      <c r="W15" s="566">
        <f>ROUNDUP('Key Assumptions'!W8,0)</f>
        <v>0</v>
      </c>
      <c r="X15" s="566">
        <f>ROUNDUP('Key Assumptions'!X8,0)</f>
        <v>0</v>
      </c>
      <c r="Y15" s="566">
        <f>ROUNDUP('Key Assumptions'!Y8,0)</f>
        <v>0</v>
      </c>
      <c r="Z15" s="566">
        <f>ROUNDUP('Key Assumptions'!Z8,0)</f>
        <v>0</v>
      </c>
      <c r="AA15" s="566">
        <f>ROUNDUP('Key Assumptions'!AA8,0)</f>
        <v>0</v>
      </c>
      <c r="AB15" s="566">
        <f>ROUNDUP('Key Assumptions'!AB8,0)</f>
        <v>0</v>
      </c>
    </row>
    <row r="16" spans="1:28" ht="18" customHeight="1">
      <c r="A16" s="226" t="s">
        <v>267</v>
      </c>
      <c r="B16" s="226"/>
      <c r="C16" s="295">
        <v>0</v>
      </c>
      <c r="D16" s="220">
        <f>C16+D15</f>
        <v>0</v>
      </c>
      <c r="E16" s="220">
        <f t="shared" ref="E16:G16" si="13">D16+E15</f>
        <v>0</v>
      </c>
      <c r="F16" s="220">
        <f t="shared" si="13"/>
        <v>6</v>
      </c>
      <c r="G16" s="220">
        <f t="shared" si="13"/>
        <v>12</v>
      </c>
      <c r="H16" s="220">
        <f>G16+H15</f>
        <v>16</v>
      </c>
      <c r="I16" s="220">
        <f t="shared" ref="I16:W16" si="14">H16+I15</f>
        <v>20</v>
      </c>
      <c r="J16" s="220">
        <f t="shared" si="14"/>
        <v>24</v>
      </c>
      <c r="K16" s="220">
        <f t="shared" si="14"/>
        <v>28</v>
      </c>
      <c r="L16" s="220">
        <f t="shared" si="14"/>
        <v>28</v>
      </c>
      <c r="M16" s="220">
        <f t="shared" si="14"/>
        <v>28</v>
      </c>
      <c r="N16" s="220">
        <f t="shared" si="14"/>
        <v>28</v>
      </c>
      <c r="O16" s="220">
        <f t="shared" si="14"/>
        <v>28</v>
      </c>
      <c r="P16" s="220">
        <f t="shared" si="14"/>
        <v>28</v>
      </c>
      <c r="Q16" s="220">
        <f t="shared" si="14"/>
        <v>28</v>
      </c>
      <c r="R16" s="220">
        <f t="shared" si="14"/>
        <v>28</v>
      </c>
      <c r="S16" s="220">
        <f t="shared" si="14"/>
        <v>28</v>
      </c>
      <c r="T16" s="220">
        <f t="shared" si="14"/>
        <v>28</v>
      </c>
      <c r="U16" s="220">
        <f t="shared" si="14"/>
        <v>28</v>
      </c>
      <c r="V16" s="220">
        <f t="shared" si="14"/>
        <v>28</v>
      </c>
      <c r="W16" s="220">
        <f t="shared" si="14"/>
        <v>28</v>
      </c>
      <c r="X16" s="489">
        <f t="shared" ref="X16" si="15">W16+X15</f>
        <v>28</v>
      </c>
      <c r="Y16" s="489">
        <f t="shared" ref="Y16" si="16">X16+Y15</f>
        <v>28</v>
      </c>
      <c r="Z16" s="489">
        <f t="shared" ref="Z16" si="17">Y16+Z15</f>
        <v>28</v>
      </c>
      <c r="AA16" s="489">
        <f t="shared" ref="AA16" si="18">Z16+AA15</f>
        <v>28</v>
      </c>
      <c r="AB16" s="489">
        <f t="shared" ref="AB16" si="19">AA16+AB15</f>
        <v>28</v>
      </c>
    </row>
    <row r="17" spans="1:28">
      <c r="A17" s="222" t="s">
        <v>272</v>
      </c>
      <c r="B17" s="222"/>
      <c r="C17" s="244"/>
      <c r="D17" s="245"/>
      <c r="E17" s="224"/>
      <c r="F17" s="224"/>
      <c r="G17" s="224"/>
      <c r="H17" s="245"/>
      <c r="I17" s="224"/>
      <c r="J17" s="224"/>
      <c r="K17" s="224"/>
      <c r="L17" s="245"/>
      <c r="M17" s="224"/>
      <c r="N17" s="224"/>
      <c r="O17" s="224"/>
      <c r="P17" s="245"/>
      <c r="Q17" s="224"/>
      <c r="R17" s="224"/>
      <c r="S17" s="224"/>
      <c r="T17" s="245"/>
      <c r="U17" s="224"/>
      <c r="V17" s="224"/>
      <c r="W17" s="225"/>
      <c r="X17" s="245"/>
      <c r="Y17" s="224"/>
      <c r="Z17" s="224"/>
      <c r="AA17" s="225"/>
      <c r="AB17" s="245"/>
    </row>
    <row r="18" spans="1:28">
      <c r="A18" s="256" t="s">
        <v>479</v>
      </c>
      <c r="B18" s="256"/>
      <c r="C18" s="257"/>
      <c r="D18" s="258"/>
      <c r="E18" s="259"/>
      <c r="F18" s="259"/>
      <c r="G18" s="259"/>
      <c r="H18" s="258"/>
      <c r="I18" s="259"/>
      <c r="J18" s="259"/>
      <c r="K18" s="259"/>
      <c r="L18" s="258"/>
      <c r="M18" s="259"/>
      <c r="N18" s="259"/>
      <c r="O18" s="259"/>
      <c r="P18" s="258"/>
      <c r="Q18" s="259"/>
      <c r="R18" s="259"/>
      <c r="S18" s="259"/>
      <c r="T18" s="258"/>
      <c r="U18" s="259"/>
      <c r="V18" s="259"/>
      <c r="W18" s="260"/>
      <c r="X18" s="258"/>
      <c r="Y18" s="259"/>
      <c r="Z18" s="259"/>
      <c r="AA18" s="260"/>
      <c r="AB18" s="258"/>
    </row>
    <row r="19" spans="1:28" ht="18" customHeight="1">
      <c r="A19" s="226" t="s">
        <v>266</v>
      </c>
      <c r="B19" s="226"/>
      <c r="C19" s="220"/>
      <c r="D19" s="566">
        <f>ROUNDUP('Key Assumptions'!D9,0)</f>
        <v>0</v>
      </c>
      <c r="E19" s="566">
        <f>ROUNDUP('Key Assumptions'!E9,0)</f>
        <v>0</v>
      </c>
      <c r="F19" s="566">
        <f>ROUNDUP('Key Assumptions'!F9,0)</f>
        <v>6</v>
      </c>
      <c r="G19" s="566">
        <f>ROUNDUP('Key Assumptions'!G9,0)</f>
        <v>6</v>
      </c>
      <c r="H19" s="566">
        <f>ROUNDUP('Key Assumptions'!H9,0)</f>
        <v>4</v>
      </c>
      <c r="I19" s="566">
        <f>ROUNDUP('Key Assumptions'!I9,0)</f>
        <v>4</v>
      </c>
      <c r="J19" s="566">
        <f>ROUNDUP('Key Assumptions'!J9,0)</f>
        <v>4</v>
      </c>
      <c r="K19" s="566">
        <f>ROUNDUP('Key Assumptions'!K9,0)</f>
        <v>4</v>
      </c>
      <c r="L19" s="566">
        <f>ROUNDUP('Key Assumptions'!L9,0)</f>
        <v>0</v>
      </c>
      <c r="M19" s="566">
        <f>ROUNDUP('Key Assumptions'!M9,0)</f>
        <v>0</v>
      </c>
      <c r="N19" s="566">
        <f>ROUNDUP('Key Assumptions'!N9,0)</f>
        <v>0</v>
      </c>
      <c r="O19" s="566">
        <f>ROUNDUP('Key Assumptions'!O9,0)</f>
        <v>0</v>
      </c>
      <c r="P19" s="566">
        <f>ROUNDUP('Key Assumptions'!P9,0)</f>
        <v>0</v>
      </c>
      <c r="Q19" s="566">
        <f>ROUNDUP('Key Assumptions'!Q9,0)</f>
        <v>0</v>
      </c>
      <c r="R19" s="566">
        <f>ROUNDUP('Key Assumptions'!R9,0)</f>
        <v>0</v>
      </c>
      <c r="S19" s="566">
        <f>ROUNDUP('Key Assumptions'!S9,0)</f>
        <v>0</v>
      </c>
      <c r="T19" s="566">
        <f>ROUNDUP('Key Assumptions'!T9,0)</f>
        <v>0</v>
      </c>
      <c r="U19" s="566">
        <f>ROUNDUP('Key Assumptions'!U9,0)</f>
        <v>0</v>
      </c>
      <c r="V19" s="566">
        <f>ROUNDUP('Key Assumptions'!V9,0)</f>
        <v>0</v>
      </c>
      <c r="W19" s="566">
        <f>ROUNDUP('Key Assumptions'!W9,0)</f>
        <v>0</v>
      </c>
      <c r="X19" s="566">
        <f>ROUNDUP('Key Assumptions'!X9,0)</f>
        <v>0</v>
      </c>
      <c r="Y19" s="566">
        <f>ROUNDUP('Key Assumptions'!Y9,0)</f>
        <v>0</v>
      </c>
      <c r="Z19" s="566">
        <f>ROUNDUP('Key Assumptions'!Z9,0)</f>
        <v>0</v>
      </c>
      <c r="AA19" s="566">
        <f>ROUNDUP('Key Assumptions'!AA9,0)</f>
        <v>0</v>
      </c>
      <c r="AB19" s="566">
        <f>ROUNDUP('Key Assumptions'!AB9,0)</f>
        <v>0</v>
      </c>
    </row>
    <row r="20" spans="1:28" ht="18" customHeight="1">
      <c r="A20" s="226" t="s">
        <v>267</v>
      </c>
      <c r="B20" s="226"/>
      <c r="C20" s="293">
        <v>0</v>
      </c>
      <c r="D20" s="220">
        <f t="shared" ref="D20:G20" si="20">C20+D19</f>
        <v>0</v>
      </c>
      <c r="E20" s="220">
        <f t="shared" si="20"/>
        <v>0</v>
      </c>
      <c r="F20" s="220">
        <f t="shared" si="20"/>
        <v>6</v>
      </c>
      <c r="G20" s="220">
        <f t="shared" si="20"/>
        <v>12</v>
      </c>
      <c r="H20" s="220">
        <f>G20+H19</f>
        <v>16</v>
      </c>
      <c r="I20" s="220">
        <f>H20+I19</f>
        <v>20</v>
      </c>
      <c r="J20" s="220">
        <f t="shared" ref="J20:W20" si="21">I20+J19</f>
        <v>24</v>
      </c>
      <c r="K20" s="220">
        <f t="shared" si="21"/>
        <v>28</v>
      </c>
      <c r="L20" s="220">
        <f t="shared" si="21"/>
        <v>28</v>
      </c>
      <c r="M20" s="220">
        <f t="shared" si="21"/>
        <v>28</v>
      </c>
      <c r="N20" s="220">
        <f t="shared" si="21"/>
        <v>28</v>
      </c>
      <c r="O20" s="220">
        <f t="shared" si="21"/>
        <v>28</v>
      </c>
      <c r="P20" s="220">
        <f t="shared" si="21"/>
        <v>28</v>
      </c>
      <c r="Q20" s="220">
        <f t="shared" si="21"/>
        <v>28</v>
      </c>
      <c r="R20" s="220">
        <f t="shared" si="21"/>
        <v>28</v>
      </c>
      <c r="S20" s="220">
        <f t="shared" si="21"/>
        <v>28</v>
      </c>
      <c r="T20" s="220">
        <f t="shared" si="21"/>
        <v>28</v>
      </c>
      <c r="U20" s="220">
        <f t="shared" si="21"/>
        <v>28</v>
      </c>
      <c r="V20" s="220">
        <f t="shared" si="21"/>
        <v>28</v>
      </c>
      <c r="W20" s="220">
        <f t="shared" si="21"/>
        <v>28</v>
      </c>
      <c r="X20" s="489">
        <f t="shared" ref="X20" si="22">W20+X19</f>
        <v>28</v>
      </c>
      <c r="Y20" s="489">
        <f t="shared" ref="Y20" si="23">X20+Y19</f>
        <v>28</v>
      </c>
      <c r="Z20" s="489">
        <f t="shared" ref="Z20" si="24">Y20+Z19</f>
        <v>28</v>
      </c>
      <c r="AA20" s="489">
        <f t="shared" ref="AA20" si="25">Z20+AA19</f>
        <v>28</v>
      </c>
      <c r="AB20" s="489">
        <f t="shared" ref="AB20" si="26">AA20+AB19</f>
        <v>28</v>
      </c>
    </row>
    <row r="21" spans="1:28">
      <c r="A21" s="222" t="s">
        <v>274</v>
      </c>
      <c r="B21" s="222"/>
      <c r="C21" s="244"/>
      <c r="D21" s="245"/>
      <c r="E21" s="224"/>
      <c r="F21" s="224"/>
      <c r="G21" s="224"/>
      <c r="H21" s="245"/>
      <c r="I21" s="224"/>
      <c r="J21" s="224"/>
      <c r="K21" s="224"/>
      <c r="L21" s="245"/>
      <c r="M21" s="224"/>
      <c r="N21" s="224"/>
      <c r="O21" s="224"/>
      <c r="P21" s="245"/>
      <c r="Q21" s="224"/>
      <c r="R21" s="224"/>
      <c r="S21" s="224"/>
      <c r="T21" s="245"/>
      <c r="U21" s="224"/>
      <c r="V21" s="224"/>
      <c r="W21" s="225"/>
      <c r="X21" s="245"/>
      <c r="Y21" s="224"/>
      <c r="Z21" s="224"/>
      <c r="AA21" s="225"/>
      <c r="AB21" s="245"/>
    </row>
    <row r="22" spans="1:28">
      <c r="A22" s="256"/>
      <c r="B22" s="256"/>
      <c r="C22" s="257"/>
      <c r="D22" s="258"/>
      <c r="E22" s="259"/>
      <c r="F22" s="259"/>
      <c r="G22" s="259"/>
      <c r="H22" s="258"/>
      <c r="I22" s="259"/>
      <c r="J22" s="259"/>
      <c r="K22" s="259"/>
      <c r="L22" s="258"/>
      <c r="M22" s="259"/>
      <c r="N22" s="259"/>
      <c r="O22" s="259"/>
      <c r="P22" s="258"/>
      <c r="Q22" s="259"/>
      <c r="R22" s="259"/>
      <c r="S22" s="259"/>
      <c r="T22" s="258"/>
      <c r="U22" s="259"/>
      <c r="V22" s="259"/>
      <c r="W22" s="260"/>
      <c r="X22" s="258"/>
      <c r="Y22" s="259"/>
      <c r="Z22" s="259"/>
      <c r="AA22" s="260"/>
      <c r="AB22" s="258"/>
    </row>
    <row r="23" spans="1:28" ht="18" customHeight="1">
      <c r="A23" s="226" t="s">
        <v>266</v>
      </c>
      <c r="B23" s="226"/>
      <c r="C23" s="220"/>
      <c r="D23" s="566">
        <f>ROUNDUP('Key Assumptions'!D10,0)</f>
        <v>0</v>
      </c>
      <c r="E23" s="566">
        <f>ROUNDUP('Key Assumptions'!E10,0)</f>
        <v>0</v>
      </c>
      <c r="F23" s="566">
        <f>ROUNDUP('Key Assumptions'!F10,0)</f>
        <v>6</v>
      </c>
      <c r="G23" s="566">
        <f>ROUNDUP('Key Assumptions'!G10,0)</f>
        <v>6</v>
      </c>
      <c r="H23" s="566">
        <f>ROUNDUP('Key Assumptions'!H10,0)</f>
        <v>4</v>
      </c>
      <c r="I23" s="566">
        <f>ROUNDUP('Key Assumptions'!I10,0)</f>
        <v>4</v>
      </c>
      <c r="J23" s="566">
        <f>ROUNDUP('Key Assumptions'!J10,0)</f>
        <v>4</v>
      </c>
      <c r="K23" s="566">
        <f>ROUNDUP('Key Assumptions'!K10,0)</f>
        <v>4</v>
      </c>
      <c r="L23" s="566">
        <f>ROUNDUP('Key Assumptions'!L10,0)</f>
        <v>0</v>
      </c>
      <c r="M23" s="566">
        <f>ROUNDUP('Key Assumptions'!M10,0)</f>
        <v>0</v>
      </c>
      <c r="N23" s="566">
        <f>ROUNDUP('Key Assumptions'!N10,0)</f>
        <v>0</v>
      </c>
      <c r="O23" s="566">
        <f>ROUNDUP('Key Assumptions'!O10,0)</f>
        <v>0</v>
      </c>
      <c r="P23" s="566">
        <f>ROUNDUP('Key Assumptions'!P10,0)</f>
        <v>0</v>
      </c>
      <c r="Q23" s="566">
        <f>ROUNDUP('Key Assumptions'!Q10,0)</f>
        <v>0</v>
      </c>
      <c r="R23" s="566">
        <f>ROUNDUP('Key Assumptions'!R10,0)</f>
        <v>0</v>
      </c>
      <c r="S23" s="566">
        <f>ROUNDUP('Key Assumptions'!S10,0)</f>
        <v>0</v>
      </c>
      <c r="T23" s="566">
        <f>ROUNDUP('Key Assumptions'!T10,0)</f>
        <v>0</v>
      </c>
      <c r="U23" s="566">
        <f>ROUNDUP('Key Assumptions'!U10,0)</f>
        <v>0</v>
      </c>
      <c r="V23" s="566">
        <f>ROUNDUP('Key Assumptions'!V10,0)</f>
        <v>0</v>
      </c>
      <c r="W23" s="566">
        <f>ROUNDUP('Key Assumptions'!W10,0)</f>
        <v>0</v>
      </c>
      <c r="X23" s="566">
        <f>ROUNDUP('Key Assumptions'!X10,0)</f>
        <v>0</v>
      </c>
      <c r="Y23" s="566">
        <f>ROUNDUP('Key Assumptions'!Y10,0)</f>
        <v>0</v>
      </c>
      <c r="Z23" s="566">
        <f>ROUNDUP('Key Assumptions'!Z10,0)</f>
        <v>0</v>
      </c>
      <c r="AA23" s="566">
        <f>ROUNDUP('Key Assumptions'!AA10,0)</f>
        <v>0</v>
      </c>
      <c r="AB23" s="566">
        <f>ROUNDUP('Key Assumptions'!AB10,0)</f>
        <v>0</v>
      </c>
    </row>
    <row r="24" spans="1:28" ht="18" customHeight="1">
      <c r="A24" s="226" t="s">
        <v>267</v>
      </c>
      <c r="B24" s="226"/>
      <c r="C24" s="293">
        <v>0</v>
      </c>
      <c r="D24" s="220">
        <f t="shared" ref="D24:G24" si="27">C24+D23</f>
        <v>0</v>
      </c>
      <c r="E24" s="220">
        <f t="shared" si="27"/>
        <v>0</v>
      </c>
      <c r="F24" s="220">
        <f t="shared" si="27"/>
        <v>6</v>
      </c>
      <c r="G24" s="220">
        <f t="shared" si="27"/>
        <v>12</v>
      </c>
      <c r="H24" s="220">
        <f>G24+H23</f>
        <v>16</v>
      </c>
      <c r="I24" s="220">
        <f>H24+I23</f>
        <v>20</v>
      </c>
      <c r="J24" s="220">
        <f t="shared" ref="J24:W24" si="28">I24+J23</f>
        <v>24</v>
      </c>
      <c r="K24" s="220">
        <f t="shared" si="28"/>
        <v>28</v>
      </c>
      <c r="L24" s="220">
        <f t="shared" si="28"/>
        <v>28</v>
      </c>
      <c r="M24" s="220">
        <f t="shared" si="28"/>
        <v>28</v>
      </c>
      <c r="N24" s="220">
        <f t="shared" si="28"/>
        <v>28</v>
      </c>
      <c r="O24" s="220">
        <f t="shared" si="28"/>
        <v>28</v>
      </c>
      <c r="P24" s="220">
        <f t="shared" si="28"/>
        <v>28</v>
      </c>
      <c r="Q24" s="220">
        <f t="shared" si="28"/>
        <v>28</v>
      </c>
      <c r="R24" s="220">
        <f t="shared" si="28"/>
        <v>28</v>
      </c>
      <c r="S24" s="220">
        <f t="shared" si="28"/>
        <v>28</v>
      </c>
      <c r="T24" s="220">
        <f t="shared" si="28"/>
        <v>28</v>
      </c>
      <c r="U24" s="220">
        <f t="shared" si="28"/>
        <v>28</v>
      </c>
      <c r="V24" s="220">
        <f t="shared" si="28"/>
        <v>28</v>
      </c>
      <c r="W24" s="220">
        <f t="shared" si="28"/>
        <v>28</v>
      </c>
      <c r="X24" s="489">
        <f t="shared" ref="X24" si="29">W24+X23</f>
        <v>28</v>
      </c>
      <c r="Y24" s="489">
        <f t="shared" ref="Y24" si="30">X24+Y23</f>
        <v>28</v>
      </c>
      <c r="Z24" s="489">
        <f t="shared" ref="Z24" si="31">Y24+Z23</f>
        <v>28</v>
      </c>
      <c r="AA24" s="489">
        <f t="shared" ref="AA24" si="32">Z24+AA23</f>
        <v>28</v>
      </c>
      <c r="AB24" s="489">
        <f t="shared" ref="AB24" si="33">AA24+AB23</f>
        <v>28</v>
      </c>
    </row>
    <row r="27" spans="1:28">
      <c r="F27" s="233"/>
    </row>
    <row r="28" spans="1:28">
      <c r="V28" s="233"/>
      <c r="Z28" s="233"/>
    </row>
    <row r="33" spans="1:3">
      <c r="A33" s="216"/>
    </row>
    <row r="35" spans="1:3">
      <c r="C35" s="470"/>
    </row>
    <row r="36" spans="1:3">
      <c r="C36" s="470"/>
    </row>
    <row r="37" spans="1:3">
      <c r="C37" s="470"/>
    </row>
    <row r="43" spans="1:3">
      <c r="C43" s="488"/>
    </row>
  </sheetData>
  <mergeCells count="8">
    <mergeCell ref="X3:AB3"/>
    <mergeCell ref="T3:W3"/>
    <mergeCell ref="A3:A4"/>
    <mergeCell ref="C3:C4"/>
    <mergeCell ref="D3:G3"/>
    <mergeCell ref="H3:K3"/>
    <mergeCell ref="L3:O3"/>
    <mergeCell ref="P3:S3"/>
  </mergeCells>
  <phoneticPr fontId="3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AB28"/>
  <sheetViews>
    <sheetView topLeftCell="A12" workbookViewId="0">
      <selection activeCell="R33" sqref="R33"/>
    </sheetView>
  </sheetViews>
  <sheetFormatPr defaultColWidth="13.7109375" defaultRowHeight="12.75"/>
  <cols>
    <col min="1" max="1" width="21.140625" style="232" customWidth="1"/>
    <col min="2" max="2" width="0.7109375" style="232" customWidth="1"/>
    <col min="3" max="3" width="6" style="216" customWidth="1"/>
    <col min="4" max="26" width="5.28515625" style="217" customWidth="1"/>
    <col min="27" max="27" width="7" style="217" customWidth="1"/>
    <col min="28" max="28" width="5.28515625" style="217" customWidth="1"/>
    <col min="29" max="16384" width="13.7109375" style="216"/>
  </cols>
  <sheetData>
    <row r="1" spans="1:28" ht="15.75">
      <c r="A1" s="215" t="s">
        <v>288</v>
      </c>
      <c r="B1" s="215"/>
    </row>
    <row r="3" spans="1:28" ht="20.100000000000001" customHeight="1">
      <c r="A3" s="705" t="s">
        <v>286</v>
      </c>
      <c r="B3" s="242"/>
      <c r="C3" s="654" t="s">
        <v>248</v>
      </c>
      <c r="D3" s="648" t="s">
        <v>249</v>
      </c>
      <c r="E3" s="648"/>
      <c r="F3" s="648"/>
      <c r="G3" s="648"/>
      <c r="H3" s="707" t="s">
        <v>250</v>
      </c>
      <c r="I3" s="648"/>
      <c r="J3" s="648"/>
      <c r="K3" s="648"/>
      <c r="L3" s="648" t="s">
        <v>251</v>
      </c>
      <c r="M3" s="648"/>
      <c r="N3" s="648"/>
      <c r="O3" s="648"/>
      <c r="P3" s="648" t="s">
        <v>252</v>
      </c>
      <c r="Q3" s="648"/>
      <c r="R3" s="648"/>
      <c r="S3" s="648"/>
      <c r="T3" s="648" t="s">
        <v>121</v>
      </c>
      <c r="U3" s="648"/>
      <c r="V3" s="648"/>
      <c r="W3" s="648"/>
      <c r="X3" s="649" t="s">
        <v>604</v>
      </c>
      <c r="Y3" s="650"/>
      <c r="Z3" s="650"/>
      <c r="AA3" s="650"/>
      <c r="AB3" s="651"/>
    </row>
    <row r="4" spans="1:28" ht="20.100000000000001" customHeight="1">
      <c r="A4" s="706"/>
      <c r="B4" s="243"/>
      <c r="C4" s="655"/>
      <c r="D4" s="220" t="s">
        <v>122</v>
      </c>
      <c r="E4" s="220" t="s">
        <v>260</v>
      </c>
      <c r="F4" s="220" t="s">
        <v>261</v>
      </c>
      <c r="G4" s="220" t="s">
        <v>262</v>
      </c>
      <c r="H4" s="227" t="s">
        <v>122</v>
      </c>
      <c r="I4" s="220" t="s">
        <v>260</v>
      </c>
      <c r="J4" s="220" t="s">
        <v>261</v>
      </c>
      <c r="K4" s="220" t="s">
        <v>262</v>
      </c>
      <c r="L4" s="227" t="s">
        <v>122</v>
      </c>
      <c r="M4" s="220" t="s">
        <v>260</v>
      </c>
      <c r="N4" s="220" t="s">
        <v>261</v>
      </c>
      <c r="O4" s="220" t="s">
        <v>262</v>
      </c>
      <c r="P4" s="220" t="s">
        <v>122</v>
      </c>
      <c r="Q4" s="220" t="s">
        <v>260</v>
      </c>
      <c r="R4" s="220" t="s">
        <v>261</v>
      </c>
      <c r="S4" s="220" t="s">
        <v>262</v>
      </c>
      <c r="T4" s="220" t="s">
        <v>263</v>
      </c>
      <c r="U4" s="220" t="s">
        <v>260</v>
      </c>
      <c r="V4" s="220" t="s">
        <v>261</v>
      </c>
      <c r="W4" s="220" t="s">
        <v>262</v>
      </c>
      <c r="X4" s="546">
        <v>6</v>
      </c>
      <c r="Y4" s="546">
        <v>7</v>
      </c>
      <c r="Z4" s="546">
        <v>8</v>
      </c>
      <c r="AA4" s="546">
        <v>9</v>
      </c>
      <c r="AB4" s="546">
        <v>10</v>
      </c>
    </row>
    <row r="5" spans="1:28">
      <c r="A5" s="222" t="s">
        <v>264</v>
      </c>
      <c r="B5" s="222"/>
      <c r="C5" s="244"/>
      <c r="D5" s="245"/>
      <c r="E5" s="246"/>
      <c r="F5" s="246"/>
      <c r="G5" s="230"/>
      <c r="H5" s="224"/>
      <c r="I5" s="224"/>
      <c r="J5" s="224"/>
      <c r="K5" s="230"/>
      <c r="L5" s="224"/>
      <c r="M5" s="224"/>
      <c r="N5" s="224"/>
      <c r="O5" s="225"/>
      <c r="P5" s="224"/>
      <c r="Q5" s="224"/>
      <c r="R5" s="224"/>
      <c r="S5" s="225"/>
      <c r="T5" s="246"/>
      <c r="U5" s="246"/>
      <c r="V5" s="246"/>
      <c r="W5" s="230"/>
      <c r="X5" s="245"/>
      <c r="Y5" s="224"/>
      <c r="Z5" s="224"/>
      <c r="AA5" s="225"/>
      <c r="AB5" s="245"/>
    </row>
    <row r="6" spans="1:28">
      <c r="A6" s="247" t="s">
        <v>279</v>
      </c>
      <c r="B6" s="247"/>
      <c r="C6" s="248"/>
      <c r="D6" s="249"/>
      <c r="E6" s="250"/>
      <c r="F6" s="250"/>
      <c r="G6" s="251"/>
      <c r="H6" s="252"/>
      <c r="I6" s="252"/>
      <c r="J6" s="252"/>
      <c r="K6" s="251"/>
      <c r="L6" s="252"/>
      <c r="M6" s="252"/>
      <c r="N6" s="252"/>
      <c r="O6" s="251"/>
      <c r="P6" s="252"/>
      <c r="Q6" s="252"/>
      <c r="R6" s="252"/>
      <c r="S6" s="251"/>
      <c r="T6" s="250"/>
      <c r="U6" s="250"/>
      <c r="V6" s="250"/>
      <c r="W6" s="251"/>
      <c r="X6" s="258"/>
      <c r="Y6" s="259"/>
      <c r="Z6" s="259"/>
      <c r="AA6" s="260"/>
      <c r="AB6" s="258"/>
    </row>
    <row r="7" spans="1:28" ht="18" customHeight="1">
      <c r="A7" s="226" t="s">
        <v>266</v>
      </c>
      <c r="B7" s="226"/>
      <c r="C7" s="220"/>
      <c r="D7" s="293">
        <v>0</v>
      </c>
      <c r="E7" s="293">
        <v>0</v>
      </c>
      <c r="F7" s="293">
        <v>0</v>
      </c>
      <c r="G7" s="293">
        <v>10</v>
      </c>
      <c r="H7" s="294">
        <v>6</v>
      </c>
      <c r="I7" s="293">
        <v>18</v>
      </c>
      <c r="J7" s="293">
        <v>17</v>
      </c>
      <c r="K7" s="293">
        <v>17</v>
      </c>
      <c r="L7" s="294">
        <v>0</v>
      </c>
      <c r="M7" s="294">
        <v>0</v>
      </c>
      <c r="N7" s="294">
        <v>0</v>
      </c>
      <c r="O7" s="294">
        <v>0</v>
      </c>
      <c r="P7" s="294">
        <v>0</v>
      </c>
      <c r="Q7" s="294">
        <v>0</v>
      </c>
      <c r="R7" s="294">
        <v>0</v>
      </c>
      <c r="S7" s="294">
        <v>0</v>
      </c>
      <c r="T7" s="294">
        <v>0</v>
      </c>
      <c r="U7" s="294">
        <v>0</v>
      </c>
      <c r="V7" s="294">
        <v>0</v>
      </c>
      <c r="W7" s="294">
        <v>0</v>
      </c>
      <c r="X7" s="293">
        <f t="shared" ref="X7:AB7" si="0">ROUNDUP(X35,0)</f>
        <v>0</v>
      </c>
      <c r="Y7" s="293">
        <f t="shared" si="0"/>
        <v>0</v>
      </c>
      <c r="Z7" s="293">
        <f t="shared" si="0"/>
        <v>0</v>
      </c>
      <c r="AA7" s="293">
        <f t="shared" si="0"/>
        <v>0</v>
      </c>
      <c r="AB7" s="293">
        <f t="shared" si="0"/>
        <v>0</v>
      </c>
    </row>
    <row r="8" spans="1:28" ht="18" customHeight="1">
      <c r="A8" s="226" t="s">
        <v>280</v>
      </c>
      <c r="B8" s="226"/>
      <c r="C8" s="293">
        <v>0</v>
      </c>
      <c r="D8" s="220">
        <f>C8+D7</f>
        <v>0</v>
      </c>
      <c r="E8" s="220">
        <f t="shared" ref="E8:F8" si="1">D8+E7</f>
        <v>0</v>
      </c>
      <c r="F8" s="220">
        <f t="shared" si="1"/>
        <v>0</v>
      </c>
      <c r="G8" s="220">
        <f>F8+G7</f>
        <v>10</v>
      </c>
      <c r="H8" s="220">
        <f t="shared" ref="H8:AB8" si="2">G8+H7</f>
        <v>16</v>
      </c>
      <c r="I8" s="220">
        <f t="shared" si="2"/>
        <v>34</v>
      </c>
      <c r="J8" s="220">
        <f t="shared" si="2"/>
        <v>51</v>
      </c>
      <c r="K8" s="220">
        <f t="shared" si="2"/>
        <v>68</v>
      </c>
      <c r="L8" s="220">
        <f t="shared" si="2"/>
        <v>68</v>
      </c>
      <c r="M8" s="220">
        <f t="shared" si="2"/>
        <v>68</v>
      </c>
      <c r="N8" s="220">
        <f t="shared" si="2"/>
        <v>68</v>
      </c>
      <c r="O8" s="220">
        <f t="shared" si="2"/>
        <v>68</v>
      </c>
      <c r="P8" s="220">
        <f t="shared" si="2"/>
        <v>68</v>
      </c>
      <c r="Q8" s="220">
        <f t="shared" si="2"/>
        <v>68</v>
      </c>
      <c r="R8" s="220">
        <f t="shared" si="2"/>
        <v>68</v>
      </c>
      <c r="S8" s="220">
        <f t="shared" si="2"/>
        <v>68</v>
      </c>
      <c r="T8" s="220">
        <f t="shared" si="2"/>
        <v>68</v>
      </c>
      <c r="U8" s="220">
        <f t="shared" si="2"/>
        <v>68</v>
      </c>
      <c r="V8" s="220">
        <f t="shared" si="2"/>
        <v>68</v>
      </c>
      <c r="W8" s="220">
        <f t="shared" si="2"/>
        <v>68</v>
      </c>
      <c r="X8" s="491">
        <f t="shared" si="2"/>
        <v>68</v>
      </c>
      <c r="Y8" s="491">
        <f t="shared" si="2"/>
        <v>68</v>
      </c>
      <c r="Z8" s="491">
        <f t="shared" si="2"/>
        <v>68</v>
      </c>
      <c r="AA8" s="491">
        <f t="shared" si="2"/>
        <v>68</v>
      </c>
      <c r="AB8" s="491">
        <f t="shared" si="2"/>
        <v>68</v>
      </c>
    </row>
    <row r="9" spans="1:28">
      <c r="A9" s="222" t="s">
        <v>268</v>
      </c>
      <c r="B9" s="222"/>
      <c r="C9" s="244"/>
      <c r="D9" s="245"/>
      <c r="E9" s="246"/>
      <c r="F9" s="246"/>
      <c r="G9" s="230"/>
      <c r="H9" s="224"/>
      <c r="I9" s="224"/>
      <c r="J9" s="224"/>
      <c r="K9" s="230"/>
      <c r="L9" s="224"/>
      <c r="M9" s="224"/>
      <c r="N9" s="224"/>
      <c r="O9" s="230"/>
      <c r="P9" s="224"/>
      <c r="Q9" s="224"/>
      <c r="R9" s="224"/>
      <c r="S9" s="230"/>
      <c r="T9" s="246"/>
      <c r="U9" s="246"/>
      <c r="V9" s="246"/>
      <c r="W9" s="230"/>
      <c r="X9" s="245"/>
      <c r="Y9" s="224"/>
      <c r="Z9" s="224"/>
      <c r="AA9" s="225"/>
      <c r="AB9" s="245"/>
    </row>
    <row r="10" spans="1:28">
      <c r="A10" s="247" t="s">
        <v>141</v>
      </c>
      <c r="B10" s="247"/>
      <c r="C10" s="248"/>
      <c r="D10" s="249"/>
      <c r="E10" s="250"/>
      <c r="F10" s="250"/>
      <c r="G10" s="251"/>
      <c r="H10" s="252"/>
      <c r="I10" s="252"/>
      <c r="J10" s="252"/>
      <c r="K10" s="251"/>
      <c r="L10" s="252"/>
      <c r="M10" s="252"/>
      <c r="N10" s="252"/>
      <c r="O10" s="251"/>
      <c r="P10" s="252"/>
      <c r="Q10" s="252"/>
      <c r="R10" s="252"/>
      <c r="S10" s="251"/>
      <c r="T10" s="250"/>
      <c r="U10" s="250"/>
      <c r="V10" s="250"/>
      <c r="W10" s="251"/>
      <c r="X10" s="258"/>
      <c r="Y10" s="259"/>
      <c r="Z10" s="259"/>
      <c r="AA10" s="260"/>
      <c r="AB10" s="258"/>
    </row>
    <row r="11" spans="1:28" ht="18" customHeight="1">
      <c r="A11" s="226" t="s">
        <v>266</v>
      </c>
      <c r="B11" s="226"/>
      <c r="C11" s="220"/>
      <c r="D11" s="293">
        <v>0</v>
      </c>
      <c r="E11" s="293">
        <v>0</v>
      </c>
      <c r="F11" s="293">
        <v>0</v>
      </c>
      <c r="G11" s="293">
        <v>0</v>
      </c>
      <c r="H11" s="294">
        <v>6</v>
      </c>
      <c r="I11" s="293">
        <v>8</v>
      </c>
      <c r="J11" s="293">
        <v>8</v>
      </c>
      <c r="K11" s="293">
        <v>6</v>
      </c>
      <c r="L11" s="294">
        <v>0</v>
      </c>
      <c r="M11" s="294">
        <v>0</v>
      </c>
      <c r="N11" s="294">
        <v>0</v>
      </c>
      <c r="O11" s="294">
        <v>0</v>
      </c>
      <c r="P11" s="294">
        <v>0</v>
      </c>
      <c r="Q11" s="294">
        <v>0</v>
      </c>
      <c r="R11" s="294">
        <v>0</v>
      </c>
      <c r="S11" s="294">
        <v>0</v>
      </c>
      <c r="T11" s="294">
        <v>0</v>
      </c>
      <c r="U11" s="294">
        <v>0</v>
      </c>
      <c r="V11" s="294">
        <v>0</v>
      </c>
      <c r="W11" s="294">
        <v>0</v>
      </c>
      <c r="X11" s="293">
        <f t="shared" ref="X11:AB11" si="3">ROUNDUP(X36,0)</f>
        <v>0</v>
      </c>
      <c r="Y11" s="293">
        <f t="shared" si="3"/>
        <v>0</v>
      </c>
      <c r="Z11" s="293">
        <f t="shared" si="3"/>
        <v>0</v>
      </c>
      <c r="AA11" s="293">
        <f t="shared" si="3"/>
        <v>0</v>
      </c>
      <c r="AB11" s="293">
        <f t="shared" si="3"/>
        <v>0</v>
      </c>
    </row>
    <row r="12" spans="1:28" ht="18" customHeight="1">
      <c r="A12" s="226" t="s">
        <v>267</v>
      </c>
      <c r="B12" s="226"/>
      <c r="C12" s="293">
        <v>0</v>
      </c>
      <c r="D12" s="220">
        <f t="shared" ref="D12:G12" si="4">C12+D11</f>
        <v>0</v>
      </c>
      <c r="E12" s="220">
        <f t="shared" si="4"/>
        <v>0</v>
      </c>
      <c r="F12" s="220">
        <f t="shared" si="4"/>
        <v>0</v>
      </c>
      <c r="G12" s="220">
        <f t="shared" si="4"/>
        <v>0</v>
      </c>
      <c r="H12" s="227">
        <f>G12+H11</f>
        <v>6</v>
      </c>
      <c r="I12" s="227">
        <f t="shared" ref="I12:AB12" si="5">H12+I11</f>
        <v>14</v>
      </c>
      <c r="J12" s="227">
        <f t="shared" si="5"/>
        <v>22</v>
      </c>
      <c r="K12" s="227">
        <f t="shared" si="5"/>
        <v>28</v>
      </c>
      <c r="L12" s="227">
        <f t="shared" si="5"/>
        <v>28</v>
      </c>
      <c r="M12" s="227">
        <f t="shared" si="5"/>
        <v>28</v>
      </c>
      <c r="N12" s="227">
        <f t="shared" si="5"/>
        <v>28</v>
      </c>
      <c r="O12" s="227">
        <f t="shared" si="5"/>
        <v>28</v>
      </c>
      <c r="P12" s="227">
        <f t="shared" si="5"/>
        <v>28</v>
      </c>
      <c r="Q12" s="227">
        <f t="shared" si="5"/>
        <v>28</v>
      </c>
      <c r="R12" s="227">
        <f t="shared" si="5"/>
        <v>28</v>
      </c>
      <c r="S12" s="227">
        <f t="shared" si="5"/>
        <v>28</v>
      </c>
      <c r="T12" s="227">
        <f t="shared" si="5"/>
        <v>28</v>
      </c>
      <c r="U12" s="227">
        <f t="shared" si="5"/>
        <v>28</v>
      </c>
      <c r="V12" s="227">
        <f t="shared" si="5"/>
        <v>28</v>
      </c>
      <c r="W12" s="227">
        <f t="shared" si="5"/>
        <v>28</v>
      </c>
      <c r="X12" s="491">
        <f t="shared" si="5"/>
        <v>28</v>
      </c>
      <c r="Y12" s="491">
        <f t="shared" si="5"/>
        <v>28</v>
      </c>
      <c r="Z12" s="491">
        <f t="shared" si="5"/>
        <v>28</v>
      </c>
      <c r="AA12" s="491">
        <f t="shared" si="5"/>
        <v>28</v>
      </c>
      <c r="AB12" s="491">
        <f t="shared" si="5"/>
        <v>28</v>
      </c>
    </row>
    <row r="13" spans="1:28">
      <c r="A13" s="222" t="s">
        <v>270</v>
      </c>
      <c r="B13" s="222"/>
      <c r="C13" s="244"/>
      <c r="D13" s="245"/>
      <c r="E13" s="246"/>
      <c r="F13" s="246"/>
      <c r="G13" s="230"/>
      <c r="H13" s="224"/>
      <c r="I13" s="224"/>
      <c r="J13" s="224"/>
      <c r="K13" s="230"/>
      <c r="L13" s="224"/>
      <c r="M13" s="224"/>
      <c r="N13" s="224"/>
      <c r="O13" s="230"/>
      <c r="P13" s="224"/>
      <c r="Q13" s="224"/>
      <c r="R13" s="224"/>
      <c r="S13" s="230"/>
      <c r="T13" s="246"/>
      <c r="U13" s="246"/>
      <c r="V13" s="246"/>
      <c r="W13" s="230"/>
      <c r="X13" s="245"/>
      <c r="Y13" s="224"/>
      <c r="Z13" s="224"/>
      <c r="AA13" s="225"/>
      <c r="AB13" s="245"/>
    </row>
    <row r="14" spans="1:28">
      <c r="A14" s="247" t="s">
        <v>143</v>
      </c>
      <c r="B14" s="247"/>
      <c r="C14" s="248"/>
      <c r="D14" s="249"/>
      <c r="E14" s="250"/>
      <c r="F14" s="250"/>
      <c r="G14" s="251"/>
      <c r="H14" s="252"/>
      <c r="I14" s="252"/>
      <c r="J14" s="252"/>
      <c r="K14" s="251"/>
      <c r="L14" s="252"/>
      <c r="M14" s="252"/>
      <c r="N14" s="252"/>
      <c r="O14" s="251"/>
      <c r="P14" s="252"/>
      <c r="Q14" s="252"/>
      <c r="R14" s="252"/>
      <c r="S14" s="251"/>
      <c r="T14" s="250"/>
      <c r="U14" s="250"/>
      <c r="V14" s="250"/>
      <c r="W14" s="251"/>
      <c r="X14" s="258"/>
      <c r="Y14" s="259"/>
      <c r="Z14" s="259"/>
      <c r="AA14" s="260"/>
      <c r="AB14" s="258"/>
    </row>
    <row r="15" spans="1:28" ht="18" customHeight="1">
      <c r="A15" s="226" t="s">
        <v>266</v>
      </c>
      <c r="B15" s="226"/>
      <c r="C15" s="231"/>
      <c r="D15" s="293">
        <v>0</v>
      </c>
      <c r="E15" s="293">
        <v>0</v>
      </c>
      <c r="F15" s="293">
        <v>0</v>
      </c>
      <c r="G15" s="293">
        <v>0</v>
      </c>
      <c r="H15" s="294">
        <v>5</v>
      </c>
      <c r="I15" s="293">
        <v>5</v>
      </c>
      <c r="J15" s="293">
        <v>6</v>
      </c>
      <c r="K15" s="293">
        <v>3</v>
      </c>
      <c r="L15" s="294">
        <v>0</v>
      </c>
      <c r="M15" s="294">
        <v>0</v>
      </c>
      <c r="N15" s="294">
        <v>0</v>
      </c>
      <c r="O15" s="294">
        <v>0</v>
      </c>
      <c r="P15" s="294">
        <v>0</v>
      </c>
      <c r="Q15" s="294">
        <v>0</v>
      </c>
      <c r="R15" s="294">
        <v>0</v>
      </c>
      <c r="S15" s="294">
        <v>0</v>
      </c>
      <c r="T15" s="294">
        <v>0</v>
      </c>
      <c r="U15" s="294">
        <v>0</v>
      </c>
      <c r="V15" s="294">
        <v>0</v>
      </c>
      <c r="W15" s="294">
        <v>0</v>
      </c>
      <c r="X15" s="293">
        <f t="shared" ref="X15:AB15" si="6">ROUNDUP(X37,0)</f>
        <v>0</v>
      </c>
      <c r="Y15" s="293">
        <f t="shared" si="6"/>
        <v>0</v>
      </c>
      <c r="Z15" s="293">
        <f t="shared" si="6"/>
        <v>0</v>
      </c>
      <c r="AA15" s="293">
        <f t="shared" si="6"/>
        <v>0</v>
      </c>
      <c r="AB15" s="293">
        <f t="shared" si="6"/>
        <v>0</v>
      </c>
    </row>
    <row r="16" spans="1:28" ht="18" customHeight="1">
      <c r="A16" s="226" t="s">
        <v>267</v>
      </c>
      <c r="B16" s="226"/>
      <c r="C16" s="293">
        <v>0</v>
      </c>
      <c r="D16" s="220">
        <f t="shared" ref="D16:G16" si="7">C16+D15</f>
        <v>0</v>
      </c>
      <c r="E16" s="220">
        <f t="shared" si="7"/>
        <v>0</v>
      </c>
      <c r="F16" s="220">
        <f t="shared" si="7"/>
        <v>0</v>
      </c>
      <c r="G16" s="220">
        <f t="shared" si="7"/>
        <v>0</v>
      </c>
      <c r="H16" s="227">
        <f>G16+H15</f>
        <v>5</v>
      </c>
      <c r="I16" s="227">
        <f t="shared" ref="I16:AB16" si="8">H16+I15</f>
        <v>10</v>
      </c>
      <c r="J16" s="227">
        <f t="shared" si="8"/>
        <v>16</v>
      </c>
      <c r="K16" s="227">
        <f t="shared" si="8"/>
        <v>19</v>
      </c>
      <c r="L16" s="227">
        <f t="shared" si="8"/>
        <v>19</v>
      </c>
      <c r="M16" s="227">
        <f t="shared" si="8"/>
        <v>19</v>
      </c>
      <c r="N16" s="227">
        <f t="shared" si="8"/>
        <v>19</v>
      </c>
      <c r="O16" s="227">
        <f t="shared" si="8"/>
        <v>19</v>
      </c>
      <c r="P16" s="227">
        <f t="shared" si="8"/>
        <v>19</v>
      </c>
      <c r="Q16" s="227">
        <f t="shared" si="8"/>
        <v>19</v>
      </c>
      <c r="R16" s="227">
        <f t="shared" si="8"/>
        <v>19</v>
      </c>
      <c r="S16" s="227">
        <f t="shared" si="8"/>
        <v>19</v>
      </c>
      <c r="T16" s="227">
        <f t="shared" si="8"/>
        <v>19</v>
      </c>
      <c r="U16" s="227">
        <f t="shared" si="8"/>
        <v>19</v>
      </c>
      <c r="V16" s="227">
        <f t="shared" si="8"/>
        <v>19</v>
      </c>
      <c r="W16" s="227">
        <f t="shared" si="8"/>
        <v>19</v>
      </c>
      <c r="X16" s="491">
        <f t="shared" si="8"/>
        <v>19</v>
      </c>
      <c r="Y16" s="491">
        <f t="shared" si="8"/>
        <v>19</v>
      </c>
      <c r="Z16" s="491">
        <f t="shared" si="8"/>
        <v>19</v>
      </c>
      <c r="AA16" s="491">
        <f t="shared" si="8"/>
        <v>19</v>
      </c>
      <c r="AB16" s="491">
        <f t="shared" si="8"/>
        <v>19</v>
      </c>
    </row>
    <row r="17" spans="1:28">
      <c r="A17" s="222" t="s">
        <v>272</v>
      </c>
      <c r="B17" s="222"/>
      <c r="C17" s="244"/>
      <c r="D17" s="245"/>
      <c r="E17" s="246"/>
      <c r="F17" s="246"/>
      <c r="G17" s="230"/>
      <c r="H17" s="224"/>
      <c r="I17" s="224"/>
      <c r="J17" s="224"/>
      <c r="K17" s="230"/>
      <c r="L17" s="224"/>
      <c r="M17" s="224"/>
      <c r="N17" s="224"/>
      <c r="O17" s="230"/>
      <c r="P17" s="224"/>
      <c r="Q17" s="224"/>
      <c r="R17" s="224"/>
      <c r="S17" s="230"/>
      <c r="T17" s="246"/>
      <c r="U17" s="246"/>
      <c r="V17" s="246"/>
      <c r="W17" s="230"/>
      <c r="X17" s="245"/>
      <c r="Y17" s="224"/>
      <c r="Z17" s="224"/>
      <c r="AA17" s="225"/>
      <c r="AB17" s="245"/>
    </row>
    <row r="18" spans="1:28">
      <c r="A18" s="247" t="s">
        <v>144</v>
      </c>
      <c r="B18" s="247"/>
      <c r="C18" s="248"/>
      <c r="D18" s="249"/>
      <c r="E18" s="250"/>
      <c r="F18" s="250"/>
      <c r="G18" s="251"/>
      <c r="H18" s="252"/>
      <c r="I18" s="252"/>
      <c r="J18" s="252"/>
      <c r="K18" s="251"/>
      <c r="L18" s="252"/>
      <c r="M18" s="252"/>
      <c r="N18" s="252"/>
      <c r="O18" s="251"/>
      <c r="P18" s="252"/>
      <c r="Q18" s="252"/>
      <c r="R18" s="252"/>
      <c r="S18" s="251"/>
      <c r="T18" s="250"/>
      <c r="U18" s="250"/>
      <c r="V18" s="250"/>
      <c r="W18" s="251"/>
      <c r="X18" s="258"/>
      <c r="Y18" s="259"/>
      <c r="Z18" s="259"/>
      <c r="AA18" s="260"/>
      <c r="AB18" s="258"/>
    </row>
    <row r="19" spans="1:28" ht="18" customHeight="1">
      <c r="A19" s="226" t="s">
        <v>266</v>
      </c>
      <c r="B19" s="226"/>
      <c r="C19" s="220"/>
      <c r="D19" s="293">
        <v>0</v>
      </c>
      <c r="E19" s="293">
        <v>0</v>
      </c>
      <c r="F19" s="293">
        <v>0</v>
      </c>
      <c r="G19" s="293">
        <v>0</v>
      </c>
      <c r="H19" s="294">
        <v>4</v>
      </c>
      <c r="I19" s="293">
        <v>4</v>
      </c>
      <c r="J19" s="293">
        <v>3</v>
      </c>
      <c r="K19" s="293">
        <v>2</v>
      </c>
      <c r="L19" s="294">
        <v>0</v>
      </c>
      <c r="M19" s="294">
        <v>0</v>
      </c>
      <c r="N19" s="294">
        <v>0</v>
      </c>
      <c r="O19" s="294">
        <v>0</v>
      </c>
      <c r="P19" s="294">
        <v>0</v>
      </c>
      <c r="Q19" s="294">
        <v>0</v>
      </c>
      <c r="R19" s="294">
        <v>0</v>
      </c>
      <c r="S19" s="294">
        <v>0</v>
      </c>
      <c r="T19" s="294">
        <v>0</v>
      </c>
      <c r="U19" s="294">
        <v>0</v>
      </c>
      <c r="V19" s="294">
        <v>0</v>
      </c>
      <c r="W19" s="294">
        <v>0</v>
      </c>
      <c r="X19" s="293">
        <f t="shared" ref="X19:AB19" si="9">ROUNDUP(X38,0)</f>
        <v>0</v>
      </c>
      <c r="Y19" s="293">
        <f t="shared" si="9"/>
        <v>0</v>
      </c>
      <c r="Z19" s="293">
        <f t="shared" si="9"/>
        <v>0</v>
      </c>
      <c r="AA19" s="293">
        <f t="shared" si="9"/>
        <v>0</v>
      </c>
      <c r="AB19" s="293">
        <f t="shared" si="9"/>
        <v>0</v>
      </c>
    </row>
    <row r="20" spans="1:28" ht="18" customHeight="1">
      <c r="A20" s="226" t="s">
        <v>267</v>
      </c>
      <c r="B20" s="226"/>
      <c r="C20" s="293">
        <v>0</v>
      </c>
      <c r="D20" s="220">
        <f t="shared" ref="D20:G20" si="10">C20+D19</f>
        <v>0</v>
      </c>
      <c r="E20" s="220">
        <f t="shared" si="10"/>
        <v>0</v>
      </c>
      <c r="F20" s="220">
        <f t="shared" si="10"/>
        <v>0</v>
      </c>
      <c r="G20" s="220">
        <f t="shared" si="10"/>
        <v>0</v>
      </c>
      <c r="H20" s="227">
        <f>G20+H19</f>
        <v>4</v>
      </c>
      <c r="I20" s="227">
        <f t="shared" ref="I20:AB20" si="11">H20+I19</f>
        <v>8</v>
      </c>
      <c r="J20" s="227">
        <f t="shared" si="11"/>
        <v>11</v>
      </c>
      <c r="K20" s="227">
        <f t="shared" si="11"/>
        <v>13</v>
      </c>
      <c r="L20" s="227">
        <f t="shared" si="11"/>
        <v>13</v>
      </c>
      <c r="M20" s="227">
        <f t="shared" si="11"/>
        <v>13</v>
      </c>
      <c r="N20" s="227">
        <f t="shared" si="11"/>
        <v>13</v>
      </c>
      <c r="O20" s="227">
        <f t="shared" si="11"/>
        <v>13</v>
      </c>
      <c r="P20" s="227">
        <f t="shared" si="11"/>
        <v>13</v>
      </c>
      <c r="Q20" s="227">
        <f t="shared" si="11"/>
        <v>13</v>
      </c>
      <c r="R20" s="227">
        <f t="shared" si="11"/>
        <v>13</v>
      </c>
      <c r="S20" s="227">
        <f t="shared" si="11"/>
        <v>13</v>
      </c>
      <c r="T20" s="227">
        <f t="shared" si="11"/>
        <v>13</v>
      </c>
      <c r="U20" s="227">
        <f t="shared" si="11"/>
        <v>13</v>
      </c>
      <c r="V20" s="227">
        <f t="shared" si="11"/>
        <v>13</v>
      </c>
      <c r="W20" s="227">
        <f t="shared" si="11"/>
        <v>13</v>
      </c>
      <c r="X20" s="491">
        <f t="shared" si="11"/>
        <v>13</v>
      </c>
      <c r="Y20" s="491">
        <f t="shared" si="11"/>
        <v>13</v>
      </c>
      <c r="Z20" s="491">
        <f t="shared" si="11"/>
        <v>13</v>
      </c>
      <c r="AA20" s="491">
        <f t="shared" si="11"/>
        <v>13</v>
      </c>
      <c r="AB20" s="491">
        <f t="shared" si="11"/>
        <v>13</v>
      </c>
    </row>
    <row r="21" spans="1:28">
      <c r="A21" s="222" t="s">
        <v>274</v>
      </c>
      <c r="B21" s="222"/>
      <c r="C21" s="244"/>
      <c r="D21" s="245"/>
      <c r="E21" s="246"/>
      <c r="F21" s="246"/>
      <c r="G21" s="230"/>
      <c r="H21" s="224"/>
      <c r="I21" s="224"/>
      <c r="J21" s="224"/>
      <c r="K21" s="230"/>
      <c r="L21" s="224"/>
      <c r="M21" s="224"/>
      <c r="N21" s="224"/>
      <c r="O21" s="230"/>
      <c r="P21" s="224"/>
      <c r="Q21" s="224"/>
      <c r="R21" s="224"/>
      <c r="S21" s="230"/>
      <c r="T21" s="246"/>
      <c r="U21" s="246"/>
      <c r="V21" s="246"/>
      <c r="W21" s="230"/>
      <c r="X21" s="245"/>
      <c r="Y21" s="224"/>
      <c r="Z21" s="224"/>
      <c r="AA21" s="225"/>
      <c r="AB21" s="245"/>
    </row>
    <row r="22" spans="1:28">
      <c r="A22" s="247" t="s">
        <v>145</v>
      </c>
      <c r="B22" s="247"/>
      <c r="C22" s="248"/>
      <c r="D22" s="249"/>
      <c r="E22" s="250"/>
      <c r="F22" s="250"/>
      <c r="G22" s="251"/>
      <c r="H22" s="252"/>
      <c r="I22" s="252"/>
      <c r="J22" s="252"/>
      <c r="K22" s="251"/>
      <c r="L22" s="252"/>
      <c r="M22" s="252"/>
      <c r="N22" s="252"/>
      <c r="O22" s="251"/>
      <c r="P22" s="252"/>
      <c r="Q22" s="252"/>
      <c r="R22" s="252"/>
      <c r="S22" s="251"/>
      <c r="T22" s="250"/>
      <c r="U22" s="250"/>
      <c r="V22" s="250"/>
      <c r="W22" s="251"/>
      <c r="X22" s="258"/>
      <c r="Y22" s="259"/>
      <c r="Z22" s="259"/>
      <c r="AA22" s="260"/>
      <c r="AB22" s="258"/>
    </row>
    <row r="23" spans="1:28" ht="18" customHeight="1">
      <c r="A23" s="226" t="s">
        <v>266</v>
      </c>
      <c r="B23" s="226"/>
      <c r="C23" s="220"/>
      <c r="D23" s="293">
        <v>0</v>
      </c>
      <c r="E23" s="293">
        <v>0</v>
      </c>
      <c r="F23" s="293">
        <v>0</v>
      </c>
      <c r="G23" s="293">
        <v>0</v>
      </c>
      <c r="H23" s="294">
        <v>3</v>
      </c>
      <c r="I23" s="293">
        <v>2</v>
      </c>
      <c r="J23" s="293">
        <v>3</v>
      </c>
      <c r="K23" s="293">
        <v>1</v>
      </c>
      <c r="L23" s="294">
        <v>0</v>
      </c>
      <c r="M23" s="294">
        <v>0</v>
      </c>
      <c r="N23" s="294">
        <v>0</v>
      </c>
      <c r="O23" s="294">
        <v>0</v>
      </c>
      <c r="P23" s="294">
        <v>0</v>
      </c>
      <c r="Q23" s="294">
        <v>0</v>
      </c>
      <c r="R23" s="294">
        <v>0</v>
      </c>
      <c r="S23" s="294">
        <v>0</v>
      </c>
      <c r="T23" s="294">
        <v>0</v>
      </c>
      <c r="U23" s="294">
        <v>0</v>
      </c>
      <c r="V23" s="294">
        <v>0</v>
      </c>
      <c r="W23" s="294">
        <v>0</v>
      </c>
      <c r="X23" s="293">
        <f t="shared" ref="X23:AB23" si="12">ROUNDUP(X39,0)</f>
        <v>0</v>
      </c>
      <c r="Y23" s="293">
        <f t="shared" si="12"/>
        <v>0</v>
      </c>
      <c r="Z23" s="293">
        <f t="shared" si="12"/>
        <v>0</v>
      </c>
      <c r="AA23" s="293">
        <f t="shared" si="12"/>
        <v>0</v>
      </c>
      <c r="AB23" s="293">
        <f t="shared" si="12"/>
        <v>0</v>
      </c>
    </row>
    <row r="24" spans="1:28" ht="18" customHeight="1">
      <c r="A24" s="226" t="s">
        <v>267</v>
      </c>
      <c r="B24" s="226"/>
      <c r="C24" s="293">
        <v>0</v>
      </c>
      <c r="D24" s="220">
        <f t="shared" ref="D24:G24" si="13">C24+D23</f>
        <v>0</v>
      </c>
      <c r="E24" s="220">
        <f t="shared" si="13"/>
        <v>0</v>
      </c>
      <c r="F24" s="220">
        <f t="shared" si="13"/>
        <v>0</v>
      </c>
      <c r="G24" s="220">
        <f t="shared" si="13"/>
        <v>0</v>
      </c>
      <c r="H24" s="227">
        <f>G24+H23</f>
        <v>3</v>
      </c>
      <c r="I24" s="227">
        <f t="shared" ref="I24:AB24" si="14">H24+I23</f>
        <v>5</v>
      </c>
      <c r="J24" s="227">
        <f t="shared" si="14"/>
        <v>8</v>
      </c>
      <c r="K24" s="227">
        <f t="shared" si="14"/>
        <v>9</v>
      </c>
      <c r="L24" s="227">
        <f t="shared" si="14"/>
        <v>9</v>
      </c>
      <c r="M24" s="227">
        <f t="shared" si="14"/>
        <v>9</v>
      </c>
      <c r="N24" s="227">
        <f t="shared" si="14"/>
        <v>9</v>
      </c>
      <c r="O24" s="227">
        <f t="shared" si="14"/>
        <v>9</v>
      </c>
      <c r="P24" s="227">
        <f t="shared" si="14"/>
        <v>9</v>
      </c>
      <c r="Q24" s="227">
        <f t="shared" si="14"/>
        <v>9</v>
      </c>
      <c r="R24" s="227">
        <f t="shared" si="14"/>
        <v>9</v>
      </c>
      <c r="S24" s="227">
        <f t="shared" si="14"/>
        <v>9</v>
      </c>
      <c r="T24" s="227">
        <f t="shared" si="14"/>
        <v>9</v>
      </c>
      <c r="U24" s="227">
        <f t="shared" si="14"/>
        <v>9</v>
      </c>
      <c r="V24" s="227">
        <f t="shared" si="14"/>
        <v>9</v>
      </c>
      <c r="W24" s="227">
        <f t="shared" si="14"/>
        <v>9</v>
      </c>
      <c r="X24" s="491">
        <f t="shared" si="14"/>
        <v>9</v>
      </c>
      <c r="Y24" s="491">
        <f t="shared" si="14"/>
        <v>9</v>
      </c>
      <c r="Z24" s="491">
        <f t="shared" si="14"/>
        <v>9</v>
      </c>
      <c r="AA24" s="491">
        <f t="shared" si="14"/>
        <v>9</v>
      </c>
      <c r="AB24" s="491">
        <f t="shared" si="14"/>
        <v>9</v>
      </c>
    </row>
    <row r="26" spans="1:28">
      <c r="V26" s="233" t="s">
        <v>287</v>
      </c>
      <c r="W26" s="217">
        <f>W8+W12+W16+W20+W24</f>
        <v>137</v>
      </c>
    </row>
    <row r="28" spans="1:28">
      <c r="Z28" s="233"/>
    </row>
  </sheetData>
  <mergeCells count="8">
    <mergeCell ref="X3:AB3"/>
    <mergeCell ref="T3:W3"/>
    <mergeCell ref="A3:A4"/>
    <mergeCell ref="C3:C4"/>
    <mergeCell ref="D3:G3"/>
    <mergeCell ref="H3:K3"/>
    <mergeCell ref="L3:O3"/>
    <mergeCell ref="P3:S3"/>
  </mergeCells>
  <phoneticPr fontId="3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AB38"/>
  <sheetViews>
    <sheetView topLeftCell="A11" workbookViewId="0">
      <selection activeCell="D35" sqref="D35"/>
    </sheetView>
  </sheetViews>
  <sheetFormatPr defaultColWidth="13.7109375" defaultRowHeight="12.75"/>
  <cols>
    <col min="1" max="1" width="21.140625" style="232" customWidth="1"/>
    <col min="2" max="2" width="0.42578125" style="232" customWidth="1"/>
    <col min="3" max="3" width="6" style="216" customWidth="1"/>
    <col min="4" max="26" width="5.28515625" style="217" customWidth="1"/>
    <col min="27" max="27" width="7" style="217" customWidth="1"/>
    <col min="28" max="28" width="5.28515625" style="217" customWidth="1"/>
    <col min="29" max="16384" width="13.7109375" style="216"/>
  </cols>
  <sheetData>
    <row r="1" spans="1:28" ht="15.75">
      <c r="A1" s="215" t="s">
        <v>285</v>
      </c>
      <c r="B1" s="215"/>
    </row>
    <row r="3" spans="1:28" ht="20.100000000000001" customHeight="1">
      <c r="A3" s="702" t="s">
        <v>278</v>
      </c>
      <c r="B3" s="218"/>
      <c r="C3" s="654" t="s">
        <v>248</v>
      </c>
      <c r="D3" s="648" t="s">
        <v>249</v>
      </c>
      <c r="E3" s="648"/>
      <c r="F3" s="648"/>
      <c r="G3" s="648"/>
      <c r="H3" s="648" t="s">
        <v>250</v>
      </c>
      <c r="I3" s="648"/>
      <c r="J3" s="648"/>
      <c r="K3" s="648"/>
      <c r="L3" s="648" t="s">
        <v>251</v>
      </c>
      <c r="M3" s="648"/>
      <c r="N3" s="648"/>
      <c r="O3" s="648"/>
      <c r="P3" s="648" t="s">
        <v>252</v>
      </c>
      <c r="Q3" s="648"/>
      <c r="R3" s="648"/>
      <c r="S3" s="648"/>
      <c r="T3" s="648" t="s">
        <v>121</v>
      </c>
      <c r="U3" s="648"/>
      <c r="V3" s="648"/>
      <c r="W3" s="648"/>
      <c r="X3" s="649" t="s">
        <v>604</v>
      </c>
      <c r="Y3" s="650"/>
      <c r="Z3" s="650"/>
      <c r="AA3" s="650"/>
      <c r="AB3" s="651"/>
    </row>
    <row r="4" spans="1:28" ht="20.100000000000001" customHeight="1">
      <c r="A4" s="708"/>
      <c r="B4" s="234"/>
      <c r="C4" s="655"/>
      <c r="D4" s="220" t="s">
        <v>122</v>
      </c>
      <c r="E4" s="220" t="s">
        <v>260</v>
      </c>
      <c r="F4" s="220" t="s">
        <v>261</v>
      </c>
      <c r="G4" s="456" t="s">
        <v>262</v>
      </c>
      <c r="H4" s="457" t="s">
        <v>122</v>
      </c>
      <c r="I4" s="220" t="s">
        <v>260</v>
      </c>
      <c r="J4" s="220" t="s">
        <v>261</v>
      </c>
      <c r="K4" s="456" t="s">
        <v>262</v>
      </c>
      <c r="L4" s="457" t="s">
        <v>122</v>
      </c>
      <c r="M4" s="220" t="s">
        <v>260</v>
      </c>
      <c r="N4" s="220" t="s">
        <v>261</v>
      </c>
      <c r="O4" s="456" t="s">
        <v>262</v>
      </c>
      <c r="P4" s="457" t="s">
        <v>122</v>
      </c>
      <c r="Q4" s="220" t="s">
        <v>260</v>
      </c>
      <c r="R4" s="220" t="s">
        <v>261</v>
      </c>
      <c r="S4" s="456" t="s">
        <v>262</v>
      </c>
      <c r="T4" s="457" t="s">
        <v>263</v>
      </c>
      <c r="U4" s="220" t="s">
        <v>260</v>
      </c>
      <c r="V4" s="220" t="s">
        <v>261</v>
      </c>
      <c r="W4" s="220" t="s">
        <v>262</v>
      </c>
      <c r="X4" s="546">
        <v>6</v>
      </c>
      <c r="Y4" s="546">
        <v>7</v>
      </c>
      <c r="Z4" s="546">
        <v>8</v>
      </c>
      <c r="AA4" s="546">
        <v>9</v>
      </c>
      <c r="AB4" s="546">
        <v>10</v>
      </c>
    </row>
    <row r="5" spans="1:28">
      <c r="A5" s="482" t="s">
        <v>505</v>
      </c>
      <c r="B5" s="235"/>
      <c r="C5" s="223"/>
      <c r="D5" s="224"/>
      <c r="E5" s="224"/>
      <c r="F5" s="224"/>
      <c r="G5" s="230"/>
      <c r="H5" s="224"/>
      <c r="I5" s="224"/>
      <c r="J5" s="224"/>
      <c r="K5" s="230"/>
      <c r="L5" s="224"/>
      <c r="M5" s="224"/>
      <c r="N5" s="224"/>
      <c r="O5" s="230"/>
      <c r="P5" s="224"/>
      <c r="Q5" s="224"/>
      <c r="R5" s="224"/>
      <c r="S5" s="230"/>
      <c r="T5" s="224"/>
      <c r="U5" s="224"/>
      <c r="V5" s="224"/>
      <c r="W5" s="225"/>
      <c r="X5" s="245"/>
      <c r="Y5" s="224"/>
      <c r="Z5" s="224"/>
      <c r="AA5" s="225"/>
      <c r="AB5" s="245"/>
    </row>
    <row r="6" spans="1:28" ht="25.5">
      <c r="A6" s="483" t="s">
        <v>485</v>
      </c>
      <c r="B6" s="236"/>
      <c r="C6" s="237"/>
      <c r="D6" s="238"/>
      <c r="E6" s="238"/>
      <c r="F6" s="238"/>
      <c r="G6" s="239"/>
      <c r="H6" s="238"/>
      <c r="I6" s="238"/>
      <c r="J6" s="238"/>
      <c r="K6" s="239"/>
      <c r="L6" s="238"/>
      <c r="M6" s="238"/>
      <c r="N6" s="238"/>
      <c r="O6" s="239"/>
      <c r="P6" s="238"/>
      <c r="Q6" s="238"/>
      <c r="R6" s="238"/>
      <c r="S6" s="239"/>
      <c r="T6" s="238"/>
      <c r="U6" s="238"/>
      <c r="V6" s="238"/>
      <c r="W6" s="239"/>
      <c r="X6" s="258"/>
      <c r="Y6" s="259"/>
      <c r="Z6" s="259"/>
      <c r="AA6" s="260"/>
      <c r="AB6" s="258"/>
    </row>
    <row r="7" spans="1:28" ht="18" customHeight="1">
      <c r="A7" s="484" t="s">
        <v>506</v>
      </c>
      <c r="B7" s="226"/>
      <c r="C7" s="220"/>
      <c r="D7" s="566">
        <f>ROUNDUP('Key Assumptions'!D39,0)</f>
        <v>0</v>
      </c>
      <c r="E7" s="566">
        <f>ROUNDUP('Key Assumptions'!E39,0)</f>
        <v>0</v>
      </c>
      <c r="F7" s="566">
        <f>ROUNDUP('Key Assumptions'!F39,0)</f>
        <v>25</v>
      </c>
      <c r="G7" s="566">
        <f>ROUNDUP('Key Assumptions'!G39,0)</f>
        <v>25</v>
      </c>
      <c r="H7" s="566">
        <f>ROUNDUP('Key Assumptions'!H39,0)</f>
        <v>13</v>
      </c>
      <c r="I7" s="566">
        <f>ROUNDUP('Key Assumptions'!I39,0)</f>
        <v>13</v>
      </c>
      <c r="J7" s="566">
        <f>ROUNDUP('Key Assumptions'!J39,0)</f>
        <v>13</v>
      </c>
      <c r="K7" s="566">
        <f>ROUNDUP('Key Assumptions'!K39,0)</f>
        <v>13</v>
      </c>
      <c r="L7" s="566">
        <f>ROUNDUP('Key Assumptions'!L39,0)</f>
        <v>0</v>
      </c>
      <c r="M7" s="566">
        <f>ROUNDUP('Key Assumptions'!M39,0)</f>
        <v>0</v>
      </c>
      <c r="N7" s="566">
        <f>ROUNDUP('Key Assumptions'!N39,0)</f>
        <v>0</v>
      </c>
      <c r="O7" s="566">
        <f>ROUNDUP('Key Assumptions'!O39,0)</f>
        <v>0</v>
      </c>
      <c r="P7" s="566">
        <f>ROUNDUP('Key Assumptions'!P39,0)</f>
        <v>0</v>
      </c>
      <c r="Q7" s="566">
        <f>ROUNDUP('Key Assumptions'!Q39,0)</f>
        <v>0</v>
      </c>
      <c r="R7" s="566">
        <f>ROUNDUP('Key Assumptions'!R39,0)</f>
        <v>0</v>
      </c>
      <c r="S7" s="566">
        <f>ROUNDUP('Key Assumptions'!S39,0)</f>
        <v>0</v>
      </c>
      <c r="T7" s="566">
        <f>ROUNDUP('Key Assumptions'!T39,0)</f>
        <v>0</v>
      </c>
      <c r="U7" s="566">
        <f>ROUNDUP('Key Assumptions'!U39,0)</f>
        <v>0</v>
      </c>
      <c r="V7" s="566">
        <f>ROUNDUP('Key Assumptions'!V39,0)</f>
        <v>0</v>
      </c>
      <c r="W7" s="566">
        <f>ROUNDUP('Key Assumptions'!W39,0)</f>
        <v>0</v>
      </c>
      <c r="X7" s="566">
        <f>ROUNDUP('Key Assumptions'!X39,0)</f>
        <v>0</v>
      </c>
      <c r="Y7" s="566">
        <f>ROUNDUP('Key Assumptions'!Y39,0)</f>
        <v>0</v>
      </c>
      <c r="Z7" s="566">
        <f>ROUNDUP('Key Assumptions'!Z39,0)</f>
        <v>0</v>
      </c>
      <c r="AA7" s="566">
        <f>ROUNDUP('Key Assumptions'!AA39,0)</f>
        <v>0</v>
      </c>
      <c r="AB7" s="566">
        <f>ROUNDUP('Key Assumptions'!AB39,0)</f>
        <v>0</v>
      </c>
    </row>
    <row r="8" spans="1:28" ht="18" customHeight="1">
      <c r="A8" s="485" t="s">
        <v>507</v>
      </c>
      <c r="B8" s="226"/>
      <c r="C8" s="293">
        <v>0</v>
      </c>
      <c r="D8" s="220">
        <f>+D7+C8</f>
        <v>0</v>
      </c>
      <c r="E8" s="220">
        <f t="shared" ref="E8:F8" si="0">+E7+D8</f>
        <v>0</v>
      </c>
      <c r="F8" s="220">
        <f t="shared" si="0"/>
        <v>25</v>
      </c>
      <c r="G8" s="456">
        <v>5</v>
      </c>
      <c r="H8" s="457">
        <f>G8+H7</f>
        <v>18</v>
      </c>
      <c r="I8" s="220">
        <f t="shared" ref="I8:AB8" si="1">H8+I7</f>
        <v>31</v>
      </c>
      <c r="J8" s="220">
        <f t="shared" si="1"/>
        <v>44</v>
      </c>
      <c r="K8" s="456">
        <f t="shared" si="1"/>
        <v>57</v>
      </c>
      <c r="L8" s="457">
        <f t="shared" si="1"/>
        <v>57</v>
      </c>
      <c r="M8" s="220">
        <f t="shared" si="1"/>
        <v>57</v>
      </c>
      <c r="N8" s="220">
        <f t="shared" si="1"/>
        <v>57</v>
      </c>
      <c r="O8" s="456">
        <f t="shared" si="1"/>
        <v>57</v>
      </c>
      <c r="P8" s="457">
        <f t="shared" si="1"/>
        <v>57</v>
      </c>
      <c r="Q8" s="220">
        <f t="shared" si="1"/>
        <v>57</v>
      </c>
      <c r="R8" s="220">
        <f t="shared" si="1"/>
        <v>57</v>
      </c>
      <c r="S8" s="456">
        <f t="shared" si="1"/>
        <v>57</v>
      </c>
      <c r="T8" s="457">
        <f t="shared" si="1"/>
        <v>57</v>
      </c>
      <c r="U8" s="220">
        <f t="shared" si="1"/>
        <v>57</v>
      </c>
      <c r="V8" s="220">
        <f t="shared" si="1"/>
        <v>57</v>
      </c>
      <c r="W8" s="220">
        <f t="shared" si="1"/>
        <v>57</v>
      </c>
      <c r="X8" s="491">
        <f t="shared" si="1"/>
        <v>57</v>
      </c>
      <c r="Y8" s="491">
        <f t="shared" si="1"/>
        <v>57</v>
      </c>
      <c r="Z8" s="491">
        <f t="shared" si="1"/>
        <v>57</v>
      </c>
      <c r="AA8" s="491">
        <f t="shared" si="1"/>
        <v>57</v>
      </c>
      <c r="AB8" s="491">
        <f t="shared" si="1"/>
        <v>57</v>
      </c>
    </row>
    <row r="9" spans="1:28">
      <c r="A9" s="482" t="s">
        <v>508</v>
      </c>
      <c r="B9" s="235"/>
      <c r="C9" s="223"/>
      <c r="D9" s="224"/>
      <c r="E9" s="224"/>
      <c r="F9" s="224"/>
      <c r="G9" s="230"/>
      <c r="H9" s="224"/>
      <c r="I9" s="224"/>
      <c r="J9" s="224"/>
      <c r="K9" s="230"/>
      <c r="L9" s="224"/>
      <c r="M9" s="224"/>
      <c r="N9" s="224"/>
      <c r="O9" s="230"/>
      <c r="P9" s="224"/>
      <c r="Q9" s="224"/>
      <c r="R9" s="224"/>
      <c r="S9" s="230"/>
      <c r="T9" s="224"/>
      <c r="U9" s="224"/>
      <c r="V9" s="224"/>
      <c r="W9" s="230"/>
      <c r="X9" s="245"/>
      <c r="Y9" s="224"/>
      <c r="Z9" s="224"/>
      <c r="AA9" s="225"/>
      <c r="AB9" s="245"/>
    </row>
    <row r="10" spans="1:28" ht="25.5">
      <c r="A10" s="483" t="s">
        <v>486</v>
      </c>
      <c r="B10" s="236"/>
      <c r="C10" s="237"/>
      <c r="D10" s="238"/>
      <c r="E10" s="238"/>
      <c r="F10" s="238"/>
      <c r="G10" s="239"/>
      <c r="H10" s="238"/>
      <c r="I10" s="238"/>
      <c r="J10" s="238"/>
      <c r="K10" s="239"/>
      <c r="L10" s="238"/>
      <c r="M10" s="238"/>
      <c r="N10" s="238"/>
      <c r="O10" s="239"/>
      <c r="P10" s="238"/>
      <c r="Q10" s="238"/>
      <c r="R10" s="238"/>
      <c r="S10" s="239"/>
      <c r="T10" s="238"/>
      <c r="U10" s="238"/>
      <c r="V10" s="238"/>
      <c r="W10" s="239"/>
      <c r="X10" s="258"/>
      <c r="Y10" s="259"/>
      <c r="Z10" s="259"/>
      <c r="AA10" s="260"/>
      <c r="AB10" s="258"/>
    </row>
    <row r="11" spans="1:28" ht="18" customHeight="1">
      <c r="A11" s="484" t="s">
        <v>506</v>
      </c>
      <c r="B11" s="226"/>
      <c r="C11" s="220"/>
      <c r="D11" s="566">
        <f>ROUNDUP('Key Assumptions'!D40,0)</f>
        <v>0</v>
      </c>
      <c r="E11" s="566">
        <f>ROUNDUP('Key Assumptions'!E40,0)</f>
        <v>0</v>
      </c>
      <c r="F11" s="566">
        <f>ROUNDUP('Key Assumptions'!F40,0)</f>
        <v>13</v>
      </c>
      <c r="G11" s="566">
        <f>ROUNDUP('Key Assumptions'!G40,0)</f>
        <v>13</v>
      </c>
      <c r="H11" s="566">
        <f>ROUNDUP('Key Assumptions'!H40,0)</f>
        <v>7</v>
      </c>
      <c r="I11" s="566">
        <f>ROUNDUP('Key Assumptions'!I40,0)</f>
        <v>7</v>
      </c>
      <c r="J11" s="566">
        <f>ROUNDUP('Key Assumptions'!J40,0)</f>
        <v>7</v>
      </c>
      <c r="K11" s="566">
        <f>ROUNDUP('Key Assumptions'!K40,0)</f>
        <v>7</v>
      </c>
      <c r="L11" s="566">
        <f>ROUNDUP('Key Assumptions'!L40,0)</f>
        <v>0</v>
      </c>
      <c r="M11" s="566">
        <f>ROUNDUP('Key Assumptions'!M40,0)</f>
        <v>0</v>
      </c>
      <c r="N11" s="566">
        <f>ROUNDUP('Key Assumptions'!N40,0)</f>
        <v>0</v>
      </c>
      <c r="O11" s="566">
        <f>ROUNDUP('Key Assumptions'!O40,0)</f>
        <v>0</v>
      </c>
      <c r="P11" s="566">
        <f>ROUNDUP('Key Assumptions'!P40,0)</f>
        <v>0</v>
      </c>
      <c r="Q11" s="566">
        <f>ROUNDUP('Key Assumptions'!Q40,0)</f>
        <v>0</v>
      </c>
      <c r="R11" s="566">
        <f>ROUNDUP('Key Assumptions'!R40,0)</f>
        <v>0</v>
      </c>
      <c r="S11" s="566">
        <f>ROUNDUP('Key Assumptions'!S40,0)</f>
        <v>0</v>
      </c>
      <c r="T11" s="566">
        <f>ROUNDUP('Key Assumptions'!T40,0)</f>
        <v>0</v>
      </c>
      <c r="U11" s="566">
        <f>ROUNDUP('Key Assumptions'!U40,0)</f>
        <v>0</v>
      </c>
      <c r="V11" s="566">
        <f>ROUNDUP('Key Assumptions'!V40,0)</f>
        <v>0</v>
      </c>
      <c r="W11" s="566">
        <f>ROUNDUP('Key Assumptions'!W40,0)</f>
        <v>0</v>
      </c>
      <c r="X11" s="566">
        <f>ROUNDUP('Key Assumptions'!X40,0)</f>
        <v>0</v>
      </c>
      <c r="Y11" s="566">
        <f>ROUNDUP('Key Assumptions'!Y40,0)</f>
        <v>0</v>
      </c>
      <c r="Z11" s="566">
        <f>ROUNDUP('Key Assumptions'!Z40,0)</f>
        <v>0</v>
      </c>
      <c r="AA11" s="566">
        <f>ROUNDUP('Key Assumptions'!AA40,0)</f>
        <v>0</v>
      </c>
      <c r="AB11" s="566">
        <f>ROUNDUP('Key Assumptions'!AB40,0)</f>
        <v>0</v>
      </c>
    </row>
    <row r="12" spans="1:28" ht="18" customHeight="1">
      <c r="A12" s="485" t="s">
        <v>507</v>
      </c>
      <c r="B12" s="226"/>
      <c r="C12" s="293">
        <v>0</v>
      </c>
      <c r="D12" s="220">
        <f>+D11+C12</f>
        <v>0</v>
      </c>
      <c r="E12" s="220">
        <f t="shared" ref="E12" si="2">+E11+D12</f>
        <v>0</v>
      </c>
      <c r="F12" s="220">
        <f t="shared" ref="F12" si="3">+F11+E12</f>
        <v>13</v>
      </c>
      <c r="G12" s="456">
        <f>F12+G11</f>
        <v>26</v>
      </c>
      <c r="H12" s="457">
        <f t="shared" ref="H12:AB12" si="4">G12+H11</f>
        <v>33</v>
      </c>
      <c r="I12" s="220">
        <f t="shared" si="4"/>
        <v>40</v>
      </c>
      <c r="J12" s="220">
        <f t="shared" si="4"/>
        <v>47</v>
      </c>
      <c r="K12" s="456">
        <f t="shared" si="4"/>
        <v>54</v>
      </c>
      <c r="L12" s="457">
        <f t="shared" si="4"/>
        <v>54</v>
      </c>
      <c r="M12" s="220">
        <f t="shared" si="4"/>
        <v>54</v>
      </c>
      <c r="N12" s="220">
        <f t="shared" si="4"/>
        <v>54</v>
      </c>
      <c r="O12" s="456">
        <f t="shared" si="4"/>
        <v>54</v>
      </c>
      <c r="P12" s="457">
        <f t="shared" si="4"/>
        <v>54</v>
      </c>
      <c r="Q12" s="220">
        <f t="shared" si="4"/>
        <v>54</v>
      </c>
      <c r="R12" s="220">
        <f t="shared" si="4"/>
        <v>54</v>
      </c>
      <c r="S12" s="456">
        <f t="shared" si="4"/>
        <v>54</v>
      </c>
      <c r="T12" s="457">
        <f t="shared" si="4"/>
        <v>54</v>
      </c>
      <c r="U12" s="220">
        <f t="shared" si="4"/>
        <v>54</v>
      </c>
      <c r="V12" s="220">
        <f t="shared" si="4"/>
        <v>54</v>
      </c>
      <c r="W12" s="220">
        <f t="shared" si="4"/>
        <v>54</v>
      </c>
      <c r="X12" s="491">
        <f t="shared" si="4"/>
        <v>54</v>
      </c>
      <c r="Y12" s="491">
        <f t="shared" si="4"/>
        <v>54</v>
      </c>
      <c r="Z12" s="491">
        <f t="shared" si="4"/>
        <v>54</v>
      </c>
      <c r="AA12" s="491">
        <f t="shared" si="4"/>
        <v>54</v>
      </c>
      <c r="AB12" s="491">
        <f t="shared" si="4"/>
        <v>54</v>
      </c>
    </row>
    <row r="13" spans="1:28">
      <c r="A13" s="482" t="s">
        <v>509</v>
      </c>
      <c r="B13" s="235"/>
      <c r="C13" s="223"/>
      <c r="D13" s="224"/>
      <c r="E13" s="224"/>
      <c r="F13" s="224"/>
      <c r="G13" s="230"/>
      <c r="H13" s="224"/>
      <c r="I13" s="224"/>
      <c r="J13" s="224"/>
      <c r="K13" s="230"/>
      <c r="L13" s="224"/>
      <c r="M13" s="224"/>
      <c r="N13" s="224"/>
      <c r="O13" s="230"/>
      <c r="P13" s="224"/>
      <c r="Q13" s="224"/>
      <c r="R13" s="224"/>
      <c r="S13" s="230"/>
      <c r="T13" s="224"/>
      <c r="U13" s="224"/>
      <c r="V13" s="224"/>
      <c r="W13" s="230"/>
      <c r="X13" s="245"/>
      <c r="Y13" s="224"/>
      <c r="Z13" s="224"/>
      <c r="AA13" s="225"/>
      <c r="AB13" s="245"/>
    </row>
    <row r="14" spans="1:28" ht="15">
      <c r="A14" s="486" t="s">
        <v>487</v>
      </c>
      <c r="B14" s="236"/>
      <c r="C14" s="237"/>
      <c r="D14" s="238"/>
      <c r="E14" s="238"/>
      <c r="F14" s="238"/>
      <c r="G14" s="239"/>
      <c r="H14" s="238"/>
      <c r="I14" s="238"/>
      <c r="J14" s="238"/>
      <c r="K14" s="239"/>
      <c r="L14" s="238"/>
      <c r="M14" s="238"/>
      <c r="N14" s="238"/>
      <c r="O14" s="239"/>
      <c r="P14" s="238"/>
      <c r="Q14" s="238"/>
      <c r="R14" s="238"/>
      <c r="S14" s="239"/>
      <c r="T14" s="238"/>
      <c r="U14" s="238"/>
      <c r="V14" s="238"/>
      <c r="W14" s="239"/>
      <c r="X14" s="258"/>
      <c r="Y14" s="259"/>
      <c r="Z14" s="259"/>
      <c r="AA14" s="260"/>
      <c r="AB14" s="258"/>
    </row>
    <row r="15" spans="1:28" ht="18" customHeight="1">
      <c r="A15" s="484" t="s">
        <v>506</v>
      </c>
      <c r="B15" s="226"/>
      <c r="C15" s="220"/>
      <c r="D15" s="566">
        <f>ROUNDUP('Key Assumptions'!D41,0)</f>
        <v>0</v>
      </c>
      <c r="E15" s="566">
        <f>ROUNDUP('Key Assumptions'!E41,0)</f>
        <v>0</v>
      </c>
      <c r="F15" s="566">
        <f>ROUNDUP('Key Assumptions'!F41,0)</f>
        <v>1</v>
      </c>
      <c r="G15" s="566">
        <f>ROUNDUP('Key Assumptions'!G41,0)</f>
        <v>1</v>
      </c>
      <c r="H15" s="566">
        <f>ROUNDUP('Key Assumptions'!H41,0)</f>
        <v>1</v>
      </c>
      <c r="I15" s="566">
        <f>ROUNDUP('Key Assumptions'!I41,0)</f>
        <v>1</v>
      </c>
      <c r="J15" s="566">
        <f>ROUNDUP('Key Assumptions'!J41,0)</f>
        <v>1</v>
      </c>
      <c r="K15" s="566">
        <f>ROUNDUP('Key Assumptions'!K41,0)</f>
        <v>1</v>
      </c>
      <c r="L15" s="566">
        <f>ROUNDUP('Key Assumptions'!L41,0)</f>
        <v>0</v>
      </c>
      <c r="M15" s="566">
        <f>ROUNDUP('Key Assumptions'!M41,0)</f>
        <v>0</v>
      </c>
      <c r="N15" s="566">
        <f>ROUNDUP('Key Assumptions'!N41,0)</f>
        <v>0</v>
      </c>
      <c r="O15" s="566">
        <f>ROUNDUP('Key Assumptions'!O41,0)</f>
        <v>0</v>
      </c>
      <c r="P15" s="566">
        <f>ROUNDUP('Key Assumptions'!P41,0)</f>
        <v>0</v>
      </c>
      <c r="Q15" s="566">
        <f>ROUNDUP('Key Assumptions'!Q41,0)</f>
        <v>0</v>
      </c>
      <c r="R15" s="566">
        <f>ROUNDUP('Key Assumptions'!R41,0)</f>
        <v>0</v>
      </c>
      <c r="S15" s="566">
        <f>ROUNDUP('Key Assumptions'!S41,0)</f>
        <v>0</v>
      </c>
      <c r="T15" s="566">
        <f>ROUNDUP('Key Assumptions'!T41,0)</f>
        <v>0</v>
      </c>
      <c r="U15" s="566">
        <f>ROUNDUP('Key Assumptions'!U41,0)</f>
        <v>0</v>
      </c>
      <c r="V15" s="566">
        <f>ROUNDUP('Key Assumptions'!V41,0)</f>
        <v>0</v>
      </c>
      <c r="W15" s="566">
        <f>ROUNDUP('Key Assumptions'!W41,0)</f>
        <v>0</v>
      </c>
      <c r="X15" s="566">
        <f>ROUNDUP('Key Assumptions'!X41,0)</f>
        <v>0</v>
      </c>
      <c r="Y15" s="566">
        <f>ROUNDUP('Key Assumptions'!Y41,0)</f>
        <v>0</v>
      </c>
      <c r="Z15" s="566">
        <f>ROUNDUP('Key Assumptions'!Z41,0)</f>
        <v>0</v>
      </c>
      <c r="AA15" s="566">
        <f>ROUNDUP('Key Assumptions'!AA41,0)</f>
        <v>0</v>
      </c>
      <c r="AB15" s="566">
        <f>ROUNDUP('Key Assumptions'!AB41,0)</f>
        <v>0</v>
      </c>
    </row>
    <row r="16" spans="1:28" ht="18" customHeight="1">
      <c r="A16" s="484" t="s">
        <v>507</v>
      </c>
      <c r="B16" s="229"/>
      <c r="C16" s="293">
        <v>0</v>
      </c>
      <c r="D16" s="220">
        <f>+D15+C16</f>
        <v>0</v>
      </c>
      <c r="E16" s="220">
        <f t="shared" ref="E16" si="5">+E15+D16</f>
        <v>0</v>
      </c>
      <c r="F16" s="220">
        <f t="shared" ref="F16" si="6">+F15+E16</f>
        <v>1</v>
      </c>
      <c r="G16" s="456">
        <f>F16+G15</f>
        <v>2</v>
      </c>
      <c r="H16" s="457">
        <f t="shared" ref="H16:AB16" si="7">G16+H15</f>
        <v>3</v>
      </c>
      <c r="I16" s="220">
        <f t="shared" si="7"/>
        <v>4</v>
      </c>
      <c r="J16" s="220">
        <f t="shared" si="7"/>
        <v>5</v>
      </c>
      <c r="K16" s="456">
        <f t="shared" si="7"/>
        <v>6</v>
      </c>
      <c r="L16" s="457">
        <f t="shared" si="7"/>
        <v>6</v>
      </c>
      <c r="M16" s="220">
        <f t="shared" si="7"/>
        <v>6</v>
      </c>
      <c r="N16" s="220">
        <f t="shared" si="7"/>
        <v>6</v>
      </c>
      <c r="O16" s="456">
        <f t="shared" si="7"/>
        <v>6</v>
      </c>
      <c r="P16" s="457">
        <f t="shared" si="7"/>
        <v>6</v>
      </c>
      <c r="Q16" s="220">
        <f t="shared" si="7"/>
        <v>6</v>
      </c>
      <c r="R16" s="220">
        <f t="shared" si="7"/>
        <v>6</v>
      </c>
      <c r="S16" s="456">
        <f t="shared" si="7"/>
        <v>6</v>
      </c>
      <c r="T16" s="457">
        <f t="shared" si="7"/>
        <v>6</v>
      </c>
      <c r="U16" s="220">
        <f t="shared" si="7"/>
        <v>6</v>
      </c>
      <c r="V16" s="220">
        <f t="shared" si="7"/>
        <v>6</v>
      </c>
      <c r="W16" s="220">
        <f t="shared" si="7"/>
        <v>6</v>
      </c>
      <c r="X16" s="491">
        <f t="shared" si="7"/>
        <v>6</v>
      </c>
      <c r="Y16" s="491">
        <f t="shared" si="7"/>
        <v>6</v>
      </c>
      <c r="Z16" s="491">
        <f t="shared" si="7"/>
        <v>6</v>
      </c>
      <c r="AA16" s="491">
        <f t="shared" si="7"/>
        <v>6</v>
      </c>
      <c r="AB16" s="491">
        <f t="shared" si="7"/>
        <v>6</v>
      </c>
    </row>
    <row r="17" spans="1:28">
      <c r="A17" s="482" t="s">
        <v>510</v>
      </c>
      <c r="B17" s="235"/>
      <c r="C17" s="223"/>
      <c r="D17" s="224"/>
      <c r="E17" s="224"/>
      <c r="F17" s="224"/>
      <c r="G17" s="230"/>
      <c r="H17" s="224"/>
      <c r="I17" s="224"/>
      <c r="J17" s="224"/>
      <c r="K17" s="230"/>
      <c r="L17" s="224"/>
      <c r="M17" s="224"/>
      <c r="N17" s="224"/>
      <c r="O17" s="230"/>
      <c r="P17" s="224"/>
      <c r="Q17" s="224"/>
      <c r="R17" s="224"/>
      <c r="S17" s="230"/>
      <c r="T17" s="224"/>
      <c r="U17" s="224"/>
      <c r="V17" s="224"/>
      <c r="W17" s="230"/>
      <c r="X17" s="245"/>
      <c r="Y17" s="224"/>
      <c r="Z17" s="224"/>
      <c r="AA17" s="225"/>
      <c r="AB17" s="245"/>
    </row>
    <row r="18" spans="1:28" ht="15">
      <c r="A18" s="486" t="s">
        <v>488</v>
      </c>
      <c r="B18" s="236"/>
      <c r="C18" s="237"/>
      <c r="D18" s="238"/>
      <c r="E18" s="238"/>
      <c r="F18" s="238"/>
      <c r="G18" s="239"/>
      <c r="H18" s="238"/>
      <c r="I18" s="238"/>
      <c r="J18" s="238"/>
      <c r="K18" s="239"/>
      <c r="L18" s="238"/>
      <c r="M18" s="238"/>
      <c r="N18" s="238"/>
      <c r="O18" s="239"/>
      <c r="P18" s="238"/>
      <c r="Q18" s="238"/>
      <c r="R18" s="238"/>
      <c r="S18" s="239"/>
      <c r="T18" s="238"/>
      <c r="U18" s="238"/>
      <c r="V18" s="238"/>
      <c r="W18" s="239"/>
      <c r="X18" s="258"/>
      <c r="Y18" s="259"/>
      <c r="Z18" s="259"/>
      <c r="AA18" s="260"/>
      <c r="AB18" s="258"/>
    </row>
    <row r="19" spans="1:28" ht="18" customHeight="1">
      <c r="A19" s="484" t="s">
        <v>506</v>
      </c>
      <c r="B19" s="226"/>
      <c r="C19" s="220"/>
      <c r="D19" s="566">
        <f>ROUNDUP('Key Assumptions'!D42,0)</f>
        <v>0</v>
      </c>
      <c r="E19" s="566">
        <f>ROUNDUP('Key Assumptions'!E42,0)</f>
        <v>0</v>
      </c>
      <c r="F19" s="566">
        <f>ROUNDUP('Key Assumptions'!F42,0)</f>
        <v>1</v>
      </c>
      <c r="G19" s="566">
        <f>ROUNDUP('Key Assumptions'!G42,0)</f>
        <v>1</v>
      </c>
      <c r="H19" s="566">
        <f>ROUNDUP('Key Assumptions'!H42,0)</f>
        <v>1</v>
      </c>
      <c r="I19" s="566">
        <f>ROUNDUP('Key Assumptions'!I42,0)</f>
        <v>1</v>
      </c>
      <c r="J19" s="566">
        <f>ROUNDUP('Key Assumptions'!J42,0)</f>
        <v>1</v>
      </c>
      <c r="K19" s="566">
        <f>ROUNDUP('Key Assumptions'!K42,0)</f>
        <v>1</v>
      </c>
      <c r="L19" s="566">
        <f>ROUNDUP('Key Assumptions'!L42,0)</f>
        <v>0</v>
      </c>
      <c r="M19" s="566">
        <f>ROUNDUP('Key Assumptions'!M42,0)</f>
        <v>0</v>
      </c>
      <c r="N19" s="566">
        <f>ROUNDUP('Key Assumptions'!N42,0)</f>
        <v>0</v>
      </c>
      <c r="O19" s="566">
        <f>ROUNDUP('Key Assumptions'!O42,0)</f>
        <v>0</v>
      </c>
      <c r="P19" s="566">
        <f>ROUNDUP('Key Assumptions'!P42,0)</f>
        <v>0</v>
      </c>
      <c r="Q19" s="566">
        <f>ROUNDUP('Key Assumptions'!Q42,0)</f>
        <v>0</v>
      </c>
      <c r="R19" s="566">
        <f>ROUNDUP('Key Assumptions'!R42,0)</f>
        <v>0</v>
      </c>
      <c r="S19" s="566">
        <f>ROUNDUP('Key Assumptions'!S42,0)</f>
        <v>0</v>
      </c>
      <c r="T19" s="566">
        <f>ROUNDUP('Key Assumptions'!T42,0)</f>
        <v>0</v>
      </c>
      <c r="U19" s="566">
        <f>ROUNDUP('Key Assumptions'!U42,0)</f>
        <v>0</v>
      </c>
      <c r="V19" s="566">
        <f>ROUNDUP('Key Assumptions'!V42,0)</f>
        <v>0</v>
      </c>
      <c r="W19" s="566">
        <f>ROUNDUP('Key Assumptions'!W42,0)</f>
        <v>0</v>
      </c>
      <c r="X19" s="566">
        <f>ROUNDUP('Key Assumptions'!X42,0)</f>
        <v>0</v>
      </c>
      <c r="Y19" s="566">
        <f>ROUNDUP('Key Assumptions'!Y42,0)</f>
        <v>0</v>
      </c>
      <c r="Z19" s="566">
        <f>ROUNDUP('Key Assumptions'!Z42,0)</f>
        <v>0</v>
      </c>
      <c r="AA19" s="566">
        <f>ROUNDUP('Key Assumptions'!AA42,0)</f>
        <v>0</v>
      </c>
      <c r="AB19" s="566">
        <f>ROUNDUP('Key Assumptions'!AB42,0)</f>
        <v>0</v>
      </c>
    </row>
    <row r="20" spans="1:28" ht="18" customHeight="1">
      <c r="A20" s="484" t="s">
        <v>507</v>
      </c>
      <c r="B20" s="229"/>
      <c r="C20" s="293">
        <v>0</v>
      </c>
      <c r="D20" s="220">
        <f>+D19+C20</f>
        <v>0</v>
      </c>
      <c r="E20" s="220">
        <f t="shared" ref="E20" si="8">+E19+D20</f>
        <v>0</v>
      </c>
      <c r="F20" s="220">
        <f t="shared" ref="F20" si="9">+F19+E20</f>
        <v>1</v>
      </c>
      <c r="G20" s="456">
        <f>F20+G19</f>
        <v>2</v>
      </c>
      <c r="H20" s="457">
        <f t="shared" ref="H20:AB20" si="10">G20+H19</f>
        <v>3</v>
      </c>
      <c r="I20" s="220">
        <f t="shared" si="10"/>
        <v>4</v>
      </c>
      <c r="J20" s="220">
        <f t="shared" si="10"/>
        <v>5</v>
      </c>
      <c r="K20" s="456">
        <f t="shared" si="10"/>
        <v>6</v>
      </c>
      <c r="L20" s="457">
        <f t="shared" si="10"/>
        <v>6</v>
      </c>
      <c r="M20" s="220">
        <f t="shared" si="10"/>
        <v>6</v>
      </c>
      <c r="N20" s="220">
        <f t="shared" si="10"/>
        <v>6</v>
      </c>
      <c r="O20" s="456">
        <f t="shared" si="10"/>
        <v>6</v>
      </c>
      <c r="P20" s="457">
        <f t="shared" si="10"/>
        <v>6</v>
      </c>
      <c r="Q20" s="220">
        <f t="shared" si="10"/>
        <v>6</v>
      </c>
      <c r="R20" s="220">
        <f t="shared" si="10"/>
        <v>6</v>
      </c>
      <c r="S20" s="456">
        <f t="shared" si="10"/>
        <v>6</v>
      </c>
      <c r="T20" s="457">
        <f t="shared" si="10"/>
        <v>6</v>
      </c>
      <c r="U20" s="220">
        <f t="shared" si="10"/>
        <v>6</v>
      </c>
      <c r="V20" s="220">
        <f t="shared" si="10"/>
        <v>6</v>
      </c>
      <c r="W20" s="220">
        <f t="shared" si="10"/>
        <v>6</v>
      </c>
      <c r="X20" s="491">
        <f t="shared" si="10"/>
        <v>6</v>
      </c>
      <c r="Y20" s="491">
        <f t="shared" si="10"/>
        <v>6</v>
      </c>
      <c r="Z20" s="491">
        <f t="shared" si="10"/>
        <v>6</v>
      </c>
      <c r="AA20" s="491">
        <f t="shared" si="10"/>
        <v>6</v>
      </c>
      <c r="AB20" s="491">
        <f t="shared" si="10"/>
        <v>6</v>
      </c>
    </row>
    <row r="21" spans="1:28">
      <c r="A21" s="482" t="s">
        <v>511</v>
      </c>
      <c r="B21" s="235"/>
      <c r="C21" s="223"/>
      <c r="D21" s="224"/>
      <c r="E21" s="224"/>
      <c r="F21" s="224"/>
      <c r="G21" s="230"/>
      <c r="H21" s="224"/>
      <c r="I21" s="224"/>
      <c r="J21" s="224"/>
      <c r="K21" s="230"/>
      <c r="L21" s="224"/>
      <c r="M21" s="224"/>
      <c r="N21" s="224"/>
      <c r="O21" s="230"/>
      <c r="P21" s="224"/>
      <c r="Q21" s="224"/>
      <c r="R21" s="224"/>
      <c r="S21" s="230"/>
      <c r="T21" s="224"/>
      <c r="U21" s="224"/>
      <c r="V21" s="224"/>
      <c r="W21" s="230"/>
      <c r="X21" s="245"/>
      <c r="Y21" s="224"/>
      <c r="Z21" s="224"/>
      <c r="AA21" s="225"/>
      <c r="AB21" s="245"/>
    </row>
    <row r="22" spans="1:28" ht="15">
      <c r="A22" s="486" t="s">
        <v>489</v>
      </c>
      <c r="B22" s="236"/>
      <c r="C22" s="237"/>
      <c r="D22" s="238"/>
      <c r="E22" s="238"/>
      <c r="F22" s="238"/>
      <c r="G22" s="239"/>
      <c r="H22" s="238"/>
      <c r="I22" s="238"/>
      <c r="J22" s="238"/>
      <c r="K22" s="239"/>
      <c r="L22" s="238"/>
      <c r="M22" s="238"/>
      <c r="N22" s="238"/>
      <c r="O22" s="239"/>
      <c r="P22" s="238"/>
      <c r="Q22" s="238"/>
      <c r="R22" s="238"/>
      <c r="S22" s="239"/>
      <c r="T22" s="238"/>
      <c r="U22" s="238"/>
      <c r="V22" s="238"/>
      <c r="W22" s="239"/>
      <c r="X22" s="258"/>
      <c r="Y22" s="259"/>
      <c r="Z22" s="259"/>
      <c r="AA22" s="260"/>
      <c r="AB22" s="258"/>
    </row>
    <row r="23" spans="1:28" ht="18" customHeight="1">
      <c r="A23" s="484" t="s">
        <v>506</v>
      </c>
      <c r="B23" s="226"/>
      <c r="C23" s="220"/>
      <c r="D23" s="566">
        <f>ROUNDUP('Key Assumptions'!D43,0)</f>
        <v>0</v>
      </c>
      <c r="E23" s="566">
        <f>ROUNDUP('Key Assumptions'!E43,0)</f>
        <v>0</v>
      </c>
      <c r="F23" s="566">
        <f>ROUNDUP('Key Assumptions'!F43,0)</f>
        <v>0</v>
      </c>
      <c r="G23" s="566">
        <f>ROUNDUP('Key Assumptions'!G43,0)</f>
        <v>0</v>
      </c>
      <c r="H23" s="566">
        <f>ROUNDUP('Key Assumptions'!H43,0)</f>
        <v>0</v>
      </c>
      <c r="I23" s="566">
        <f>ROUNDUP('Key Assumptions'!I43,0)</f>
        <v>0</v>
      </c>
      <c r="J23" s="566">
        <f>ROUNDUP('Key Assumptions'!J43,0)</f>
        <v>0</v>
      </c>
      <c r="K23" s="566">
        <f>ROUNDUP('Key Assumptions'!K43,0)</f>
        <v>0</v>
      </c>
      <c r="L23" s="566">
        <f>ROUNDUP('Key Assumptions'!L43,0)</f>
        <v>0</v>
      </c>
      <c r="M23" s="566">
        <f>ROUNDUP('Key Assumptions'!M43,0)</f>
        <v>0</v>
      </c>
      <c r="N23" s="566">
        <f>ROUNDUP('Key Assumptions'!N43,0)</f>
        <v>0</v>
      </c>
      <c r="O23" s="566">
        <f>ROUNDUP('Key Assumptions'!O43,0)</f>
        <v>0</v>
      </c>
      <c r="P23" s="566">
        <f>ROUNDUP('Key Assumptions'!P43,0)</f>
        <v>0</v>
      </c>
      <c r="Q23" s="566">
        <f>ROUNDUP('Key Assumptions'!Q43,0)</f>
        <v>0</v>
      </c>
      <c r="R23" s="566">
        <f>ROUNDUP('Key Assumptions'!R43,0)</f>
        <v>0</v>
      </c>
      <c r="S23" s="566">
        <f>ROUNDUP('Key Assumptions'!S43,0)</f>
        <v>0</v>
      </c>
      <c r="T23" s="566">
        <f>ROUNDUP('Key Assumptions'!T43,0)</f>
        <v>0</v>
      </c>
      <c r="U23" s="566">
        <f>ROUNDUP('Key Assumptions'!U43,0)</f>
        <v>0</v>
      </c>
      <c r="V23" s="566">
        <f>ROUNDUP('Key Assumptions'!V43,0)</f>
        <v>0</v>
      </c>
      <c r="W23" s="566">
        <f>ROUNDUP('Key Assumptions'!W43,0)</f>
        <v>0</v>
      </c>
      <c r="X23" s="566">
        <f>ROUNDUP('Key Assumptions'!X43,0)</f>
        <v>0</v>
      </c>
      <c r="Y23" s="566">
        <f>ROUNDUP('Key Assumptions'!Y43,0)</f>
        <v>0</v>
      </c>
      <c r="Z23" s="566">
        <f>ROUNDUP('Key Assumptions'!Z43,0)</f>
        <v>0</v>
      </c>
      <c r="AA23" s="566">
        <f>ROUNDUP('Key Assumptions'!AA43,0)</f>
        <v>0</v>
      </c>
      <c r="AB23" s="566">
        <f>ROUNDUP('Key Assumptions'!AB43,0)</f>
        <v>0</v>
      </c>
    </row>
    <row r="24" spans="1:28" ht="18" customHeight="1">
      <c r="A24" s="484" t="s">
        <v>507</v>
      </c>
      <c r="B24" s="229"/>
      <c r="C24" s="293">
        <v>0</v>
      </c>
      <c r="D24" s="220">
        <f>+D23+C24</f>
        <v>0</v>
      </c>
      <c r="E24" s="220">
        <f t="shared" ref="E24" si="11">+E23+D24</f>
        <v>0</v>
      </c>
      <c r="F24" s="220">
        <f t="shared" ref="F24" si="12">+F23+E24</f>
        <v>0</v>
      </c>
      <c r="G24" s="456">
        <f>F24+G23</f>
        <v>0</v>
      </c>
      <c r="H24" s="457">
        <f t="shared" ref="H24:AB24" si="13">G24+H23</f>
        <v>0</v>
      </c>
      <c r="I24" s="220">
        <f t="shared" si="13"/>
        <v>0</v>
      </c>
      <c r="J24" s="220">
        <f t="shared" si="13"/>
        <v>0</v>
      </c>
      <c r="K24" s="456">
        <f t="shared" si="13"/>
        <v>0</v>
      </c>
      <c r="L24" s="457">
        <f t="shared" si="13"/>
        <v>0</v>
      </c>
      <c r="M24" s="220">
        <f t="shared" si="13"/>
        <v>0</v>
      </c>
      <c r="N24" s="220">
        <f t="shared" si="13"/>
        <v>0</v>
      </c>
      <c r="O24" s="456">
        <f t="shared" si="13"/>
        <v>0</v>
      </c>
      <c r="P24" s="457">
        <f t="shared" si="13"/>
        <v>0</v>
      </c>
      <c r="Q24" s="220">
        <f t="shared" si="13"/>
        <v>0</v>
      </c>
      <c r="R24" s="220">
        <f t="shared" si="13"/>
        <v>0</v>
      </c>
      <c r="S24" s="456">
        <f t="shared" si="13"/>
        <v>0</v>
      </c>
      <c r="T24" s="457">
        <f t="shared" si="13"/>
        <v>0</v>
      </c>
      <c r="U24" s="220">
        <f t="shared" si="13"/>
        <v>0</v>
      </c>
      <c r="V24" s="220">
        <f t="shared" si="13"/>
        <v>0</v>
      </c>
      <c r="W24" s="220">
        <f t="shared" si="13"/>
        <v>0</v>
      </c>
      <c r="X24" s="491">
        <f t="shared" si="13"/>
        <v>0</v>
      </c>
      <c r="Y24" s="491">
        <f t="shared" si="13"/>
        <v>0</v>
      </c>
      <c r="Z24" s="491">
        <f t="shared" si="13"/>
        <v>0</v>
      </c>
      <c r="AA24" s="491">
        <f t="shared" si="13"/>
        <v>0</v>
      </c>
      <c r="AB24" s="491">
        <f t="shared" si="13"/>
        <v>0</v>
      </c>
    </row>
    <row r="25" spans="1:28">
      <c r="A25" s="482" t="s">
        <v>512</v>
      </c>
      <c r="B25" s="235"/>
      <c r="C25" s="223"/>
      <c r="D25" s="224"/>
      <c r="E25" s="224"/>
      <c r="F25" s="224"/>
      <c r="G25" s="230"/>
      <c r="H25" s="224"/>
      <c r="I25" s="224"/>
      <c r="J25" s="224"/>
      <c r="K25" s="230"/>
      <c r="L25" s="224"/>
      <c r="M25" s="224"/>
      <c r="N25" s="224"/>
      <c r="O25" s="230"/>
      <c r="P25" s="224"/>
      <c r="Q25" s="224"/>
      <c r="R25" s="224"/>
      <c r="S25" s="230"/>
      <c r="T25" s="224"/>
      <c r="U25" s="224"/>
      <c r="V25" s="224"/>
      <c r="W25" s="230"/>
      <c r="X25" s="230"/>
      <c r="Y25" s="230"/>
      <c r="Z25" s="230"/>
      <c r="AA25" s="230"/>
      <c r="AB25" s="230"/>
    </row>
    <row r="26" spans="1:28">
      <c r="A26" s="483" t="s">
        <v>513</v>
      </c>
      <c r="B26" s="236"/>
      <c r="C26" s="237"/>
      <c r="D26" s="238"/>
      <c r="E26" s="238"/>
      <c r="F26" s="238"/>
      <c r="G26" s="239"/>
      <c r="H26" s="238"/>
      <c r="I26" s="238"/>
      <c r="J26" s="238"/>
      <c r="K26" s="239"/>
      <c r="L26" s="238"/>
      <c r="M26" s="238"/>
      <c r="N26" s="238"/>
      <c r="O26" s="239"/>
      <c r="P26" s="238"/>
      <c r="Q26" s="238"/>
      <c r="R26" s="238"/>
      <c r="S26" s="239"/>
      <c r="T26" s="238"/>
      <c r="U26" s="238"/>
      <c r="V26" s="238"/>
      <c r="W26" s="239"/>
      <c r="X26" s="239"/>
      <c r="Y26" s="239"/>
      <c r="Z26" s="239"/>
      <c r="AA26" s="239"/>
      <c r="AB26" s="239"/>
    </row>
    <row r="27" spans="1:28">
      <c r="A27" s="484" t="s">
        <v>506</v>
      </c>
      <c r="B27" s="226"/>
      <c r="C27" s="220"/>
      <c r="D27" s="566">
        <f>ROUNDUP('Key Assumptions'!D44,0)</f>
        <v>0</v>
      </c>
      <c r="E27" s="566">
        <f>ROUNDUP('Key Assumptions'!E44,0)</f>
        <v>0</v>
      </c>
      <c r="F27" s="566">
        <f>ROUNDUP('Key Assumptions'!F44,0)</f>
        <v>10</v>
      </c>
      <c r="G27" s="566">
        <f>ROUNDUP('Key Assumptions'!G44,0)</f>
        <v>10</v>
      </c>
      <c r="H27" s="566">
        <f>ROUNDUP('Key Assumptions'!H44,0)</f>
        <v>5</v>
      </c>
      <c r="I27" s="566">
        <f>ROUNDUP('Key Assumptions'!I44,0)</f>
        <v>5</v>
      </c>
      <c r="J27" s="566">
        <f>ROUNDUP('Key Assumptions'!J44,0)</f>
        <v>5</v>
      </c>
      <c r="K27" s="566">
        <f>ROUNDUP('Key Assumptions'!K44,0)</f>
        <v>5</v>
      </c>
      <c r="L27" s="566">
        <f>ROUNDUP('Key Assumptions'!L44,0)</f>
        <v>0</v>
      </c>
      <c r="M27" s="566">
        <f>ROUNDUP('Key Assumptions'!M44,0)</f>
        <v>0</v>
      </c>
      <c r="N27" s="566">
        <f>ROUNDUP('Key Assumptions'!N44,0)</f>
        <v>0</v>
      </c>
      <c r="O27" s="566">
        <f>ROUNDUP('Key Assumptions'!O44,0)</f>
        <v>0</v>
      </c>
      <c r="P27" s="566">
        <f>ROUNDUP('Key Assumptions'!P44,0)</f>
        <v>0</v>
      </c>
      <c r="Q27" s="566">
        <f>ROUNDUP('Key Assumptions'!Q44,0)</f>
        <v>0</v>
      </c>
      <c r="R27" s="566">
        <f>ROUNDUP('Key Assumptions'!R44,0)</f>
        <v>0</v>
      </c>
      <c r="S27" s="566">
        <f>ROUNDUP('Key Assumptions'!S44,0)</f>
        <v>0</v>
      </c>
      <c r="T27" s="566">
        <f>ROUNDUP('Key Assumptions'!T44,0)</f>
        <v>0</v>
      </c>
      <c r="U27" s="566">
        <f>ROUNDUP('Key Assumptions'!U44,0)</f>
        <v>0</v>
      </c>
      <c r="V27" s="566">
        <f>ROUNDUP('Key Assumptions'!V44,0)</f>
        <v>0</v>
      </c>
      <c r="W27" s="566">
        <f>ROUNDUP('Key Assumptions'!W44,0)</f>
        <v>0</v>
      </c>
      <c r="X27" s="566">
        <f>ROUNDUP('Key Assumptions'!X44,0)</f>
        <v>0</v>
      </c>
      <c r="Y27" s="566">
        <f>ROUNDUP('Key Assumptions'!Y44,0)</f>
        <v>0</v>
      </c>
      <c r="Z27" s="566">
        <f>ROUNDUP('Key Assumptions'!Z44,0)</f>
        <v>0</v>
      </c>
      <c r="AA27" s="566">
        <f>ROUNDUP('Key Assumptions'!AA44,0)</f>
        <v>0</v>
      </c>
      <c r="AB27" s="566">
        <f>ROUNDUP('Key Assumptions'!AB44,0)</f>
        <v>0</v>
      </c>
    </row>
    <row r="28" spans="1:28">
      <c r="A28" s="484" t="s">
        <v>507</v>
      </c>
      <c r="B28" s="229"/>
      <c r="C28" s="293">
        <v>0</v>
      </c>
      <c r="D28" s="220">
        <f>+D27+C28</f>
        <v>0</v>
      </c>
      <c r="E28" s="220">
        <f t="shared" ref="E28" si="14">+E27+D28</f>
        <v>0</v>
      </c>
      <c r="F28" s="220">
        <f t="shared" ref="F28" si="15">+F27+E28</f>
        <v>10</v>
      </c>
      <c r="G28" s="456">
        <v>0</v>
      </c>
      <c r="H28" s="457">
        <f>G28+H27</f>
        <v>5</v>
      </c>
      <c r="I28" s="220">
        <f t="shared" ref="I28:W28" si="16">H28+I27</f>
        <v>10</v>
      </c>
      <c r="J28" s="220">
        <f t="shared" si="16"/>
        <v>15</v>
      </c>
      <c r="K28" s="456">
        <f t="shared" si="16"/>
        <v>20</v>
      </c>
      <c r="L28" s="457">
        <f t="shared" si="16"/>
        <v>20</v>
      </c>
      <c r="M28" s="220">
        <f t="shared" si="16"/>
        <v>20</v>
      </c>
      <c r="N28" s="220">
        <f t="shared" si="16"/>
        <v>20</v>
      </c>
      <c r="O28" s="456">
        <f t="shared" si="16"/>
        <v>20</v>
      </c>
      <c r="P28" s="457">
        <f t="shared" si="16"/>
        <v>20</v>
      </c>
      <c r="Q28" s="220">
        <f t="shared" si="16"/>
        <v>20</v>
      </c>
      <c r="R28" s="220">
        <f t="shared" si="16"/>
        <v>20</v>
      </c>
      <c r="S28" s="456">
        <f t="shared" si="16"/>
        <v>20</v>
      </c>
      <c r="T28" s="457">
        <f t="shared" si="16"/>
        <v>20</v>
      </c>
      <c r="U28" s="220">
        <f t="shared" si="16"/>
        <v>20</v>
      </c>
      <c r="V28" s="220">
        <f t="shared" si="16"/>
        <v>20</v>
      </c>
      <c r="W28" s="220">
        <f t="shared" si="16"/>
        <v>20</v>
      </c>
      <c r="X28" s="491">
        <f t="shared" ref="X28" si="17">W28+X27</f>
        <v>20</v>
      </c>
      <c r="Y28" s="491">
        <f t="shared" ref="Y28" si="18">X28+Y27</f>
        <v>20</v>
      </c>
      <c r="Z28" s="491">
        <f t="shared" ref="Z28" si="19">Y28+Z27</f>
        <v>20</v>
      </c>
      <c r="AA28" s="491">
        <f t="shared" ref="AA28" si="20">Z28+AA27</f>
        <v>20</v>
      </c>
      <c r="AB28" s="491">
        <f t="shared" ref="AB28" si="21">AA28+AB27</f>
        <v>20</v>
      </c>
    </row>
    <row r="29" spans="1:28">
      <c r="A29" s="482" t="s">
        <v>514</v>
      </c>
      <c r="B29" s="235"/>
      <c r="C29" s="223"/>
      <c r="D29" s="224"/>
      <c r="E29" s="224"/>
      <c r="F29" s="224"/>
      <c r="G29" s="230"/>
      <c r="H29" s="224"/>
      <c r="I29" s="224"/>
      <c r="J29" s="224"/>
      <c r="K29" s="230"/>
      <c r="L29" s="224"/>
      <c r="M29" s="224"/>
      <c r="N29" s="224"/>
      <c r="O29" s="230"/>
      <c r="P29" s="224"/>
      <c r="Q29" s="224"/>
      <c r="R29" s="224"/>
      <c r="S29" s="230"/>
      <c r="T29" s="224"/>
      <c r="U29" s="224"/>
      <c r="V29" s="224"/>
      <c r="W29" s="230"/>
      <c r="X29" s="230"/>
      <c r="Y29" s="230"/>
      <c r="Z29" s="230"/>
      <c r="AA29" s="230"/>
      <c r="AB29" s="230"/>
    </row>
    <row r="30" spans="1:28">
      <c r="A30" s="483" t="s">
        <v>515</v>
      </c>
      <c r="B30" s="236"/>
      <c r="C30" s="237"/>
      <c r="D30" s="238"/>
      <c r="E30" s="238"/>
      <c r="F30" s="238"/>
      <c r="G30" s="239"/>
      <c r="H30" s="238"/>
      <c r="I30" s="238"/>
      <c r="J30" s="238"/>
      <c r="K30" s="239"/>
      <c r="L30" s="238"/>
      <c r="M30" s="238"/>
      <c r="N30" s="238"/>
      <c r="O30" s="239"/>
      <c r="P30" s="238"/>
      <c r="Q30" s="238"/>
      <c r="R30" s="238"/>
      <c r="S30" s="239"/>
      <c r="T30" s="238"/>
      <c r="U30" s="238"/>
      <c r="V30" s="238"/>
      <c r="W30" s="239"/>
      <c r="X30" s="239"/>
      <c r="Y30" s="239"/>
      <c r="Z30" s="239"/>
      <c r="AA30" s="239"/>
      <c r="AB30" s="239"/>
    </row>
    <row r="31" spans="1:28">
      <c r="A31" s="484" t="s">
        <v>506</v>
      </c>
      <c r="B31" s="226"/>
      <c r="C31" s="220"/>
      <c r="D31" s="566">
        <f>ROUNDUP('Key Assumptions'!D45,0)</f>
        <v>0</v>
      </c>
      <c r="E31" s="566">
        <f>ROUNDUP('Key Assumptions'!E45,0)</f>
        <v>0</v>
      </c>
      <c r="F31" s="566">
        <f>ROUNDUP('Key Assumptions'!F45,0)</f>
        <v>2</v>
      </c>
      <c r="G31" s="566">
        <f>ROUNDUP('Key Assumptions'!G45,0)</f>
        <v>2</v>
      </c>
      <c r="H31" s="566">
        <f>ROUNDUP('Key Assumptions'!H45,0)</f>
        <v>1</v>
      </c>
      <c r="I31" s="566">
        <f>ROUNDUP('Key Assumptions'!I45,0)</f>
        <v>1</v>
      </c>
      <c r="J31" s="566">
        <f>ROUNDUP('Key Assumptions'!J45,0)</f>
        <v>1</v>
      </c>
      <c r="K31" s="566">
        <f>ROUNDUP('Key Assumptions'!K45,0)</f>
        <v>1</v>
      </c>
      <c r="L31" s="566">
        <f>ROUNDUP('Key Assumptions'!L45,0)</f>
        <v>0</v>
      </c>
      <c r="M31" s="566">
        <f>ROUNDUP('Key Assumptions'!M45,0)</f>
        <v>0</v>
      </c>
      <c r="N31" s="566">
        <f>ROUNDUP('Key Assumptions'!N45,0)</f>
        <v>0</v>
      </c>
      <c r="O31" s="566">
        <f>ROUNDUP('Key Assumptions'!O45,0)</f>
        <v>0</v>
      </c>
      <c r="P31" s="566">
        <f>ROUNDUP('Key Assumptions'!P45,0)</f>
        <v>0</v>
      </c>
      <c r="Q31" s="566">
        <f>ROUNDUP('Key Assumptions'!Q45,0)</f>
        <v>0</v>
      </c>
      <c r="R31" s="566">
        <f>ROUNDUP('Key Assumptions'!R45,0)</f>
        <v>0</v>
      </c>
      <c r="S31" s="566">
        <f>ROUNDUP('Key Assumptions'!S45,0)</f>
        <v>0</v>
      </c>
      <c r="T31" s="566">
        <f>ROUNDUP('Key Assumptions'!T45,0)</f>
        <v>0</v>
      </c>
      <c r="U31" s="566">
        <f>ROUNDUP('Key Assumptions'!U45,0)</f>
        <v>0</v>
      </c>
      <c r="V31" s="566">
        <f>ROUNDUP('Key Assumptions'!V45,0)</f>
        <v>0</v>
      </c>
      <c r="W31" s="566">
        <f>ROUNDUP('Key Assumptions'!W45,0)</f>
        <v>0</v>
      </c>
      <c r="X31" s="566">
        <f>ROUNDUP('Key Assumptions'!X45,0)</f>
        <v>0</v>
      </c>
      <c r="Y31" s="566">
        <f>ROUNDUP('Key Assumptions'!Y45,0)</f>
        <v>0</v>
      </c>
      <c r="Z31" s="566">
        <f>ROUNDUP('Key Assumptions'!Z45,0)</f>
        <v>0</v>
      </c>
      <c r="AA31" s="566">
        <f>ROUNDUP('Key Assumptions'!AA45,0)</f>
        <v>0</v>
      </c>
      <c r="AB31" s="566">
        <f>ROUNDUP('Key Assumptions'!AB45,0)</f>
        <v>0</v>
      </c>
    </row>
    <row r="32" spans="1:28">
      <c r="A32" s="485" t="s">
        <v>507</v>
      </c>
      <c r="B32" s="226"/>
      <c r="C32" s="293">
        <v>0</v>
      </c>
      <c r="D32" s="220">
        <f>+D31+C32</f>
        <v>0</v>
      </c>
      <c r="E32" s="220">
        <f t="shared" ref="E32" si="22">+E31+D32</f>
        <v>0</v>
      </c>
      <c r="F32" s="220">
        <f t="shared" ref="F32" si="23">+F31+E32</f>
        <v>2</v>
      </c>
      <c r="G32" s="456">
        <v>0</v>
      </c>
      <c r="H32" s="457">
        <f>G32+H31</f>
        <v>1</v>
      </c>
      <c r="I32" s="220">
        <f t="shared" ref="I32:W32" si="24">H32+I31</f>
        <v>2</v>
      </c>
      <c r="J32" s="220">
        <f t="shared" si="24"/>
        <v>3</v>
      </c>
      <c r="K32" s="456">
        <f t="shared" si="24"/>
        <v>4</v>
      </c>
      <c r="L32" s="457">
        <f t="shared" si="24"/>
        <v>4</v>
      </c>
      <c r="M32" s="220">
        <f t="shared" si="24"/>
        <v>4</v>
      </c>
      <c r="N32" s="220">
        <f t="shared" si="24"/>
        <v>4</v>
      </c>
      <c r="O32" s="456">
        <f t="shared" si="24"/>
        <v>4</v>
      </c>
      <c r="P32" s="457">
        <f t="shared" si="24"/>
        <v>4</v>
      </c>
      <c r="Q32" s="220">
        <f t="shared" si="24"/>
        <v>4</v>
      </c>
      <c r="R32" s="220">
        <f t="shared" si="24"/>
        <v>4</v>
      </c>
      <c r="S32" s="456">
        <f t="shared" si="24"/>
        <v>4</v>
      </c>
      <c r="T32" s="457">
        <f t="shared" si="24"/>
        <v>4</v>
      </c>
      <c r="U32" s="220">
        <f t="shared" si="24"/>
        <v>4</v>
      </c>
      <c r="V32" s="220">
        <f t="shared" si="24"/>
        <v>4</v>
      </c>
      <c r="W32" s="220">
        <f t="shared" si="24"/>
        <v>4</v>
      </c>
      <c r="X32" s="491">
        <f t="shared" ref="X32" si="25">W32+X31</f>
        <v>4</v>
      </c>
      <c r="Y32" s="491">
        <f t="shared" ref="Y32" si="26">X32+Y31</f>
        <v>4</v>
      </c>
      <c r="Z32" s="491">
        <f t="shared" ref="Z32" si="27">Y32+Z31</f>
        <v>4</v>
      </c>
      <c r="AA32" s="491">
        <f t="shared" ref="AA32" si="28">Z32+AA31</f>
        <v>4</v>
      </c>
      <c r="AB32" s="491">
        <f t="shared" ref="AB32" si="29">AA32+AB31</f>
        <v>4</v>
      </c>
    </row>
    <row r="33" spans="1:28">
      <c r="A33" s="482" t="s">
        <v>516</v>
      </c>
      <c r="B33" s="235"/>
      <c r="C33" s="223"/>
      <c r="D33" s="224"/>
      <c r="E33" s="224"/>
      <c r="F33" s="224"/>
      <c r="G33" s="230"/>
      <c r="H33" s="224"/>
      <c r="I33" s="224"/>
      <c r="J33" s="224"/>
      <c r="K33" s="230"/>
      <c r="L33" s="224"/>
      <c r="M33" s="224"/>
      <c r="N33" s="224"/>
      <c r="O33" s="230"/>
      <c r="P33" s="224"/>
      <c r="Q33" s="224"/>
      <c r="R33" s="224"/>
      <c r="S33" s="230"/>
      <c r="T33" s="224"/>
      <c r="U33" s="224"/>
      <c r="V33" s="224"/>
      <c r="W33" s="230"/>
      <c r="X33" s="230"/>
      <c r="Y33" s="230"/>
      <c r="Z33" s="230"/>
      <c r="AA33" s="230"/>
      <c r="AB33" s="230"/>
    </row>
    <row r="34" spans="1:28">
      <c r="A34" s="483" t="s">
        <v>517</v>
      </c>
      <c r="B34" s="236"/>
      <c r="C34" s="237"/>
      <c r="D34" s="238"/>
      <c r="E34" s="238"/>
      <c r="F34" s="238"/>
      <c r="G34" s="239"/>
      <c r="H34" s="238"/>
      <c r="I34" s="238"/>
      <c r="J34" s="238"/>
      <c r="K34" s="239"/>
      <c r="L34" s="238"/>
      <c r="M34" s="238"/>
      <c r="N34" s="238"/>
      <c r="O34" s="239"/>
      <c r="P34" s="238"/>
      <c r="Q34" s="238"/>
      <c r="R34" s="238"/>
      <c r="S34" s="239"/>
      <c r="T34" s="238"/>
      <c r="U34" s="238"/>
      <c r="V34" s="238"/>
      <c r="W34" s="239"/>
      <c r="X34" s="239"/>
      <c r="Y34" s="239"/>
      <c r="Z34" s="239"/>
      <c r="AA34" s="239"/>
      <c r="AB34" s="239"/>
    </row>
    <row r="35" spans="1:28">
      <c r="A35" s="484" t="s">
        <v>506</v>
      </c>
      <c r="B35" s="226"/>
      <c r="C35" s="220"/>
      <c r="D35" s="566">
        <f>ROUNDUP('Key Assumptions'!D46,0)</f>
        <v>0</v>
      </c>
      <c r="E35" s="566">
        <f>ROUNDUP('Key Assumptions'!E46,0)</f>
        <v>0</v>
      </c>
      <c r="F35" s="566">
        <f>ROUNDUP('Key Assumptions'!F46,0)</f>
        <v>0</v>
      </c>
      <c r="G35" s="566">
        <f>ROUNDUP('Key Assumptions'!G46,0)</f>
        <v>0</v>
      </c>
      <c r="H35" s="566">
        <f>ROUNDUP('Key Assumptions'!H46,0)</f>
        <v>0</v>
      </c>
      <c r="I35" s="566">
        <f>ROUNDUP('Key Assumptions'!I46,0)</f>
        <v>0</v>
      </c>
      <c r="J35" s="566">
        <f>ROUNDUP('Key Assumptions'!J46,0)</f>
        <v>0</v>
      </c>
      <c r="K35" s="566">
        <f>ROUNDUP('Key Assumptions'!K46,0)</f>
        <v>0</v>
      </c>
      <c r="L35" s="566">
        <f>ROUNDUP('Key Assumptions'!L46,0)</f>
        <v>0</v>
      </c>
      <c r="M35" s="566">
        <f>ROUNDUP('Key Assumptions'!M46,0)</f>
        <v>0</v>
      </c>
      <c r="N35" s="566">
        <f>ROUNDUP('Key Assumptions'!N46,0)</f>
        <v>0</v>
      </c>
      <c r="O35" s="566">
        <f>ROUNDUP('Key Assumptions'!O46,0)</f>
        <v>0</v>
      </c>
      <c r="P35" s="566">
        <f>ROUNDUP('Key Assumptions'!P46,0)</f>
        <v>0</v>
      </c>
      <c r="Q35" s="566">
        <f>ROUNDUP('Key Assumptions'!Q46,0)</f>
        <v>0</v>
      </c>
      <c r="R35" s="566">
        <f>ROUNDUP('Key Assumptions'!R46,0)</f>
        <v>0</v>
      </c>
      <c r="S35" s="566">
        <f>ROUNDUP('Key Assumptions'!S46,0)</f>
        <v>0</v>
      </c>
      <c r="T35" s="566">
        <f>ROUNDUP('Key Assumptions'!T46,0)</f>
        <v>0</v>
      </c>
      <c r="U35" s="566">
        <f>ROUNDUP('Key Assumptions'!U46,0)</f>
        <v>0</v>
      </c>
      <c r="V35" s="566">
        <f>ROUNDUP('Key Assumptions'!V46,0)</f>
        <v>0</v>
      </c>
      <c r="W35" s="566">
        <f>ROUNDUP('Key Assumptions'!W46,0)</f>
        <v>0</v>
      </c>
      <c r="X35" s="566">
        <f>ROUNDUP('Key Assumptions'!X46,0)</f>
        <v>0</v>
      </c>
      <c r="Y35" s="566">
        <f>ROUNDUP('Key Assumptions'!Y46,0)</f>
        <v>0</v>
      </c>
      <c r="Z35" s="566">
        <f>ROUNDUP('Key Assumptions'!Z46,0)</f>
        <v>0</v>
      </c>
      <c r="AA35" s="566">
        <f>ROUNDUP('Key Assumptions'!AA46,0)</f>
        <v>0</v>
      </c>
      <c r="AB35" s="566">
        <f>ROUNDUP('Key Assumptions'!AB46,0)</f>
        <v>0</v>
      </c>
    </row>
    <row r="36" spans="1:28">
      <c r="A36" s="484" t="s">
        <v>507</v>
      </c>
      <c r="B36" s="229"/>
      <c r="C36" s="293">
        <v>0</v>
      </c>
      <c r="D36" s="220">
        <f>+D35+C36</f>
        <v>0</v>
      </c>
      <c r="E36" s="220">
        <f t="shared" ref="E36" si="30">+E35+D36</f>
        <v>0</v>
      </c>
      <c r="F36" s="220">
        <f t="shared" ref="F36" si="31">+F35+E36</f>
        <v>0</v>
      </c>
      <c r="G36" s="456">
        <v>0</v>
      </c>
      <c r="H36" s="457">
        <f>G36+H35</f>
        <v>0</v>
      </c>
      <c r="I36" s="220">
        <f t="shared" ref="I36:W36" si="32">H36+I35</f>
        <v>0</v>
      </c>
      <c r="J36" s="220">
        <f t="shared" si="32"/>
        <v>0</v>
      </c>
      <c r="K36" s="456">
        <f t="shared" si="32"/>
        <v>0</v>
      </c>
      <c r="L36" s="457">
        <f t="shared" si="32"/>
        <v>0</v>
      </c>
      <c r="M36" s="220">
        <f t="shared" si="32"/>
        <v>0</v>
      </c>
      <c r="N36" s="220">
        <f t="shared" si="32"/>
        <v>0</v>
      </c>
      <c r="O36" s="456">
        <f t="shared" si="32"/>
        <v>0</v>
      </c>
      <c r="P36" s="457">
        <f t="shared" si="32"/>
        <v>0</v>
      </c>
      <c r="Q36" s="220">
        <f t="shared" si="32"/>
        <v>0</v>
      </c>
      <c r="R36" s="220">
        <f t="shared" si="32"/>
        <v>0</v>
      </c>
      <c r="S36" s="456">
        <f t="shared" si="32"/>
        <v>0</v>
      </c>
      <c r="T36" s="457">
        <f t="shared" si="32"/>
        <v>0</v>
      </c>
      <c r="U36" s="220">
        <f t="shared" si="32"/>
        <v>0</v>
      </c>
      <c r="V36" s="220">
        <f t="shared" si="32"/>
        <v>0</v>
      </c>
      <c r="W36" s="220">
        <f t="shared" si="32"/>
        <v>0</v>
      </c>
      <c r="X36" s="491">
        <f t="shared" ref="X36" si="33">W36+X35</f>
        <v>0</v>
      </c>
      <c r="Y36" s="491">
        <f t="shared" ref="Y36" si="34">X36+Y35</f>
        <v>0</v>
      </c>
      <c r="Z36" s="491">
        <f t="shared" ref="Z36" si="35">Y36+Z35</f>
        <v>0</v>
      </c>
      <c r="AA36" s="491">
        <f t="shared" ref="AA36" si="36">Z36+AA35</f>
        <v>0</v>
      </c>
      <c r="AB36" s="491">
        <f t="shared" ref="AB36" si="37">AA36+AB35</f>
        <v>0</v>
      </c>
    </row>
    <row r="37" spans="1:28">
      <c r="A37" s="240"/>
      <c r="B37" s="241"/>
    </row>
    <row r="38" spans="1:28">
      <c r="V38" s="233" t="s">
        <v>284</v>
      </c>
      <c r="W38" s="217">
        <f>W28+W32+W36+W24+W20+W16+W12+W8</f>
        <v>147</v>
      </c>
    </row>
  </sheetData>
  <mergeCells count="8">
    <mergeCell ref="X3:AB3"/>
    <mergeCell ref="T3:W3"/>
    <mergeCell ref="A3:A4"/>
    <mergeCell ref="C3:C4"/>
    <mergeCell ref="D3:G3"/>
    <mergeCell ref="H3:K3"/>
    <mergeCell ref="L3:O3"/>
    <mergeCell ref="P3:S3"/>
  </mergeCells>
  <phoneticPr fontId="3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</vt:i4>
      </vt:variant>
    </vt:vector>
  </HeadingPairs>
  <TitlesOfParts>
    <vt:vector size="27" baseType="lpstr">
      <vt:lpstr>Income Statement</vt:lpstr>
      <vt:lpstr>Balance Sheet</vt:lpstr>
      <vt:lpstr>Cash Flow Statement</vt:lpstr>
      <vt:lpstr>Key Assumptions</vt:lpstr>
      <vt:lpstr>Financing and Feasibility</vt:lpstr>
      <vt:lpstr>Appendix 2</vt:lpstr>
      <vt:lpstr>Attachment H1 (Residential)</vt:lpstr>
      <vt:lpstr>Attachment H2 (Anchor)</vt:lpstr>
      <vt:lpstr>Attachment H3 (Business)</vt:lpstr>
      <vt:lpstr>Attachment H4 (Wholesale)</vt:lpstr>
      <vt:lpstr>Attachment B1 (Last Mile)</vt:lpstr>
      <vt:lpstr>Attachment B2 (Middle Mile)</vt:lpstr>
      <vt:lpstr>Sources and Uses</vt:lpstr>
      <vt:lpstr>Revenue</vt:lpstr>
      <vt:lpstr>FTTP Estimate</vt:lpstr>
      <vt:lpstr>Capital Additions</vt:lpstr>
      <vt:lpstr>Loan Yr 2</vt:lpstr>
      <vt:lpstr>Loan Yr 3</vt:lpstr>
      <vt:lpstr>Loan Yr 4</vt:lpstr>
      <vt:lpstr>Loan Yr 5</vt:lpstr>
      <vt:lpstr>Depreciation 20</vt:lpstr>
      <vt:lpstr>Depreciation 5</vt:lpstr>
      <vt:lpstr>Depreciation Summary</vt:lpstr>
      <vt:lpstr>'Appendix 2'!Print_Area</vt:lpstr>
      <vt:lpstr>'Balance Sheet'!Print_Area</vt:lpstr>
      <vt:lpstr>'Cash Flow Statement'!Print_Area</vt:lpstr>
      <vt:lpstr>'Income Statement'!Print_Area</vt:lpstr>
    </vt:vector>
  </TitlesOfParts>
  <Company>Booz Allen Hamilton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Loving, Richard</dc:creator>
  <cp:lastModifiedBy>LENOVO USER</cp:lastModifiedBy>
  <cp:lastPrinted>2010-01-17T21:59:50Z</cp:lastPrinted>
  <dcterms:created xsi:type="dcterms:W3CDTF">2009-12-07T17:13:52Z</dcterms:created>
  <dcterms:modified xsi:type="dcterms:W3CDTF">2012-03-12T16:07:29Z</dcterms:modified>
</cp:coreProperties>
</file>